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C:\Users\JacobRodriguez\Downloads\"/>
    </mc:Choice>
  </mc:AlternateContent>
  <xr:revisionPtr revIDLastSave="0" documentId="8_{46A7E592-9E91-4546-A9D8-9D8C9C54B63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8520" yWindow="-120" windowWidth="38640" windowHeight="211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47" i="5" l="1"/>
  <c r="T148" i="5"/>
  <c r="T149" i="5"/>
  <c r="T150" i="5"/>
  <c r="T151" i="5"/>
  <c r="T152" i="5"/>
  <c r="T153" i="5"/>
  <c r="T154" i="5"/>
  <c r="T155" i="5"/>
  <c r="T156" i="5"/>
  <c r="T157" i="5"/>
  <c r="T158" i="5"/>
  <c r="T159" i="5"/>
  <c r="T160" i="5"/>
  <c r="T161" i="5"/>
  <c r="T162" i="5"/>
  <c r="T163" i="5"/>
  <c r="T164" i="5"/>
  <c r="T165" i="5"/>
  <c r="T166" i="5"/>
  <c r="T167" i="5"/>
  <c r="T168" i="5"/>
  <c r="T169"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R5" i="5" s="1"/>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X6" i="5"/>
  <c r="V7" i="5"/>
  <c r="X7" i="5"/>
  <c r="V8" i="5"/>
  <c r="R8" i="5" s="1"/>
  <c r="X8" i="5"/>
  <c r="V9" i="5"/>
  <c r="R9" i="5" s="1"/>
  <c r="X9" i="5"/>
  <c r="V10" i="5"/>
  <c r="X10" i="5"/>
  <c r="V11" i="5"/>
  <c r="X11" i="5"/>
  <c r="V12" i="5"/>
  <c r="X12" i="5"/>
  <c r="V13" i="5"/>
  <c r="X13" i="5"/>
  <c r="V14" i="5"/>
  <c r="X14" i="5"/>
  <c r="V15" i="5"/>
  <c r="R15" i="5" s="1"/>
  <c r="X15" i="5"/>
  <c r="V16" i="5"/>
  <c r="X16" i="5"/>
  <c r="V17" i="5"/>
  <c r="R17" i="5" s="1"/>
  <c r="X17" i="5"/>
  <c r="V18" i="5"/>
  <c r="X18" i="5"/>
  <c r="V19" i="5"/>
  <c r="R19" i="5" s="1"/>
  <c r="X19" i="5"/>
  <c r="V20" i="5"/>
  <c r="X20" i="5"/>
  <c r="V21" i="5"/>
  <c r="R21" i="5" s="1"/>
  <c r="X21" i="5"/>
  <c r="V22" i="5"/>
  <c r="X22" i="5"/>
  <c r="V23" i="5"/>
  <c r="R23" i="5" s="1"/>
  <c r="X23" i="5"/>
  <c r="V24" i="5"/>
  <c r="X24" i="5"/>
  <c r="V25" i="5"/>
  <c r="R25" i="5" s="1"/>
  <c r="X25" i="5"/>
  <c r="V26" i="5"/>
  <c r="R26" i="5" s="1"/>
  <c r="X26" i="5"/>
  <c r="V27" i="5"/>
  <c r="R27" i="5" s="1"/>
  <c r="X27" i="5"/>
  <c r="V28" i="5"/>
  <c r="X28" i="5"/>
  <c r="V29" i="5"/>
  <c r="R29" i="5" s="1"/>
  <c r="X29" i="5"/>
  <c r="V30" i="5"/>
  <c r="X30" i="5"/>
  <c r="V31" i="5"/>
  <c r="X31" i="5"/>
  <c r="V32" i="5"/>
  <c r="X32" i="5"/>
  <c r="V33" i="5"/>
  <c r="R33" i="5" s="1"/>
  <c r="X33" i="5"/>
  <c r="V34" i="5"/>
  <c r="X34" i="5"/>
  <c r="V35" i="5"/>
  <c r="R35" i="5" s="1"/>
  <c r="X35" i="5"/>
  <c r="V36" i="5"/>
  <c r="X36" i="5"/>
  <c r="V37" i="5"/>
  <c r="R37" i="5" s="1"/>
  <c r="X37" i="5"/>
  <c r="V38" i="5"/>
  <c r="R38" i="5" s="1"/>
  <c r="X38" i="5"/>
  <c r="V39" i="5"/>
  <c r="R39" i="5" s="1"/>
  <c r="X39" i="5"/>
  <c r="V40" i="5"/>
  <c r="X40" i="5"/>
  <c r="V41" i="5"/>
  <c r="R41" i="5" s="1"/>
  <c r="X41" i="5"/>
  <c r="V42" i="5"/>
  <c r="X42" i="5"/>
  <c r="V43" i="5"/>
  <c r="R43" i="5" s="1"/>
  <c r="X43" i="5"/>
  <c r="V44" i="5"/>
  <c r="R44" i="5" s="1"/>
  <c r="X44" i="5"/>
  <c r="V45" i="5"/>
  <c r="R45" i="5" s="1"/>
  <c r="X45" i="5"/>
  <c r="V46" i="5"/>
  <c r="X46" i="5"/>
  <c r="V47" i="5"/>
  <c r="R47" i="5" s="1"/>
  <c r="X47" i="5"/>
  <c r="V48" i="5"/>
  <c r="X48" i="5"/>
  <c r="V49" i="5"/>
  <c r="X49" i="5"/>
  <c r="V50" i="5"/>
  <c r="X50" i="5"/>
  <c r="V51" i="5"/>
  <c r="X51" i="5"/>
  <c r="V52" i="5"/>
  <c r="X52" i="5"/>
  <c r="V53" i="5"/>
  <c r="X53" i="5"/>
  <c r="V54" i="5"/>
  <c r="X54" i="5"/>
  <c r="V55" i="5"/>
  <c r="X55" i="5"/>
  <c r="V56" i="5"/>
  <c r="R56" i="5" s="1"/>
  <c r="X56" i="5"/>
  <c r="V57" i="5"/>
  <c r="R57" i="5" s="1"/>
  <c r="X57" i="5"/>
  <c r="V58" i="5"/>
  <c r="X58" i="5"/>
  <c r="V59" i="5"/>
  <c r="X59" i="5"/>
  <c r="V60" i="5"/>
  <c r="X60" i="5"/>
  <c r="V61" i="5"/>
  <c r="R61" i="5" s="1"/>
  <c r="X61" i="5"/>
  <c r="V62" i="5"/>
  <c r="R62" i="5" s="1"/>
  <c r="X62" i="5"/>
  <c r="V63" i="5"/>
  <c r="R63" i="5" s="1"/>
  <c r="X63" i="5"/>
  <c r="V64" i="5"/>
  <c r="X64" i="5"/>
  <c r="V65" i="5"/>
  <c r="X65" i="5"/>
  <c r="V66" i="5"/>
  <c r="X66" i="5"/>
  <c r="V67" i="5"/>
  <c r="R67" i="5" s="1"/>
  <c r="X67" i="5"/>
  <c r="V68" i="5"/>
  <c r="R68" i="5" s="1"/>
  <c r="X68" i="5"/>
  <c r="V69" i="5"/>
  <c r="R69" i="5" s="1"/>
  <c r="X69" i="5"/>
  <c r="V70" i="5"/>
  <c r="X70" i="5"/>
  <c r="V71" i="5"/>
  <c r="R71" i="5" s="1"/>
  <c r="X71" i="5"/>
  <c r="V72" i="5"/>
  <c r="X72" i="5"/>
  <c r="V73" i="5"/>
  <c r="R73" i="5" s="1"/>
  <c r="X73" i="5"/>
  <c r="V74" i="5"/>
  <c r="X74" i="5"/>
  <c r="V75" i="5"/>
  <c r="R75" i="5" s="1"/>
  <c r="X75" i="5"/>
  <c r="V76" i="5"/>
  <c r="X76" i="5"/>
  <c r="V77" i="5"/>
  <c r="R77" i="5" s="1"/>
  <c r="X77" i="5"/>
  <c r="V78" i="5"/>
  <c r="X78" i="5"/>
  <c r="V79" i="5"/>
  <c r="R79" i="5" s="1"/>
  <c r="X79" i="5"/>
  <c r="V80" i="5"/>
  <c r="R80" i="5" s="1"/>
  <c r="X80" i="5"/>
  <c r="V81" i="5"/>
  <c r="R81" i="5" s="1"/>
  <c r="X81" i="5"/>
  <c r="V82" i="5"/>
  <c r="X82" i="5"/>
  <c r="V83" i="5"/>
  <c r="X83" i="5"/>
  <c r="V84" i="5"/>
  <c r="X84" i="5"/>
  <c r="V85" i="5"/>
  <c r="R85" i="5" s="1"/>
  <c r="X85" i="5"/>
  <c r="V86" i="5"/>
  <c r="X86" i="5"/>
  <c r="V87" i="5"/>
  <c r="R87" i="5" s="1"/>
  <c r="X87" i="5"/>
  <c r="V88" i="5"/>
  <c r="X88" i="5"/>
  <c r="V89" i="5"/>
  <c r="R89" i="5" s="1"/>
  <c r="X89" i="5"/>
  <c r="V90" i="5"/>
  <c r="X90" i="5"/>
  <c r="V91" i="5"/>
  <c r="X91" i="5"/>
  <c r="V92" i="5"/>
  <c r="R92" i="5" s="1"/>
  <c r="X92" i="5"/>
  <c r="V93" i="5"/>
  <c r="R93" i="5" s="1"/>
  <c r="X93" i="5"/>
  <c r="V94" i="5"/>
  <c r="X94" i="5"/>
  <c r="V95" i="5"/>
  <c r="X95" i="5"/>
  <c r="V96" i="5"/>
  <c r="X96" i="5"/>
  <c r="V97" i="5"/>
  <c r="R97" i="5" s="1"/>
  <c r="X97" i="5"/>
  <c r="V98" i="5"/>
  <c r="R98" i="5" s="1"/>
  <c r="X98" i="5"/>
  <c r="V99" i="5"/>
  <c r="R99" i="5" s="1"/>
  <c r="X99" i="5"/>
  <c r="V100" i="5"/>
  <c r="X100" i="5"/>
  <c r="V101" i="5"/>
  <c r="R101" i="5" s="1"/>
  <c r="X101" i="5"/>
  <c r="V102" i="5"/>
  <c r="X102" i="5"/>
  <c r="V103" i="5"/>
  <c r="R103" i="5" s="1"/>
  <c r="X103" i="5"/>
  <c r="V104" i="5"/>
  <c r="X104" i="5"/>
  <c r="V105" i="5"/>
  <c r="R105" i="5" s="1"/>
  <c r="X105" i="5"/>
  <c r="V106" i="5"/>
  <c r="X106" i="5"/>
  <c r="V107" i="5"/>
  <c r="X107" i="5"/>
  <c r="V108" i="5"/>
  <c r="X108" i="5"/>
  <c r="V109" i="5"/>
  <c r="X109" i="5"/>
  <c r="V110" i="5"/>
  <c r="X110" i="5"/>
  <c r="V111" i="5"/>
  <c r="R111" i="5" s="1"/>
  <c r="X111" i="5"/>
  <c r="V112" i="5"/>
  <c r="R112" i="5" s="1"/>
  <c r="X112" i="5"/>
  <c r="V113" i="5"/>
  <c r="R113" i="5" s="1"/>
  <c r="X113" i="5"/>
  <c r="V114" i="5"/>
  <c r="R114" i="5" s="1"/>
  <c r="X114" i="5"/>
  <c r="V115" i="5"/>
  <c r="X115" i="5"/>
  <c r="V116" i="5"/>
  <c r="X116" i="5"/>
  <c r="V117" i="5"/>
  <c r="R117" i="5" s="1"/>
  <c r="X117" i="5"/>
  <c r="V118" i="5"/>
  <c r="X118" i="5"/>
  <c r="V119" i="5"/>
  <c r="X119" i="5"/>
  <c r="V120" i="5"/>
  <c r="X120" i="5"/>
  <c r="V121" i="5"/>
  <c r="X121" i="5"/>
  <c r="V122" i="5"/>
  <c r="R122" i="5" s="1"/>
  <c r="X122" i="5"/>
  <c r="V123" i="5"/>
  <c r="R123" i="5" s="1"/>
  <c r="X123" i="5"/>
  <c r="V124" i="5"/>
  <c r="X124" i="5"/>
  <c r="V125" i="5"/>
  <c r="R125" i="5" s="1"/>
  <c r="X125" i="5"/>
  <c r="V126" i="5"/>
  <c r="R126" i="5" s="1"/>
  <c r="X126" i="5"/>
  <c r="V127" i="5"/>
  <c r="R127" i="5" s="1"/>
  <c r="X127" i="5"/>
  <c r="V128" i="5"/>
  <c r="R128" i="5" s="1"/>
  <c r="X128" i="5"/>
  <c r="V129" i="5"/>
  <c r="R129" i="5" s="1"/>
  <c r="X129" i="5"/>
  <c r="V130" i="5"/>
  <c r="R130" i="5" s="1"/>
  <c r="X130" i="5"/>
  <c r="V131" i="5"/>
  <c r="X131" i="5"/>
  <c r="V132" i="5"/>
  <c r="X132" i="5"/>
  <c r="V133" i="5"/>
  <c r="X133" i="5"/>
  <c r="V134" i="5"/>
  <c r="R134" i="5" s="1"/>
  <c r="X134" i="5"/>
  <c r="V135" i="5"/>
  <c r="R135" i="5" s="1"/>
  <c r="X135" i="5"/>
  <c r="V136" i="5"/>
  <c r="X136" i="5"/>
  <c r="V137" i="5"/>
  <c r="X137" i="5"/>
  <c r="V138" i="5"/>
  <c r="X138" i="5"/>
  <c r="V139" i="5"/>
  <c r="R139" i="5" s="1"/>
  <c r="X139" i="5"/>
  <c r="V140" i="5"/>
  <c r="R140" i="5" s="1"/>
  <c r="X140" i="5"/>
  <c r="V141" i="5"/>
  <c r="R141" i="5" s="1"/>
  <c r="X141" i="5"/>
  <c r="V142" i="5"/>
  <c r="R142" i="5" s="1"/>
  <c r="X142" i="5"/>
  <c r="V143" i="5"/>
  <c r="R143" i="5" s="1"/>
  <c r="X143" i="5"/>
  <c r="V144" i="5"/>
  <c r="X144" i="5"/>
  <c r="V145" i="5"/>
  <c r="R145" i="5" s="1"/>
  <c r="X145" i="5"/>
  <c r="V146" i="5"/>
  <c r="R146" i="5" s="1"/>
  <c r="X146" i="5"/>
  <c r="V147" i="5"/>
  <c r="R147" i="5" s="1"/>
  <c r="X147" i="5"/>
  <c r="V148" i="5"/>
  <c r="R148" i="5" s="1"/>
  <c r="X148" i="5"/>
  <c r="V149" i="5"/>
  <c r="R149" i="5" s="1"/>
  <c r="X149" i="5"/>
  <c r="V150" i="5"/>
  <c r="R150" i="5" s="1"/>
  <c r="X150" i="5"/>
  <c r="V151" i="5"/>
  <c r="X151" i="5"/>
  <c r="V152" i="5"/>
  <c r="R152" i="5" s="1"/>
  <c r="X152" i="5"/>
  <c r="V153" i="5"/>
  <c r="R153" i="5" s="1"/>
  <c r="X153" i="5"/>
  <c r="V154" i="5"/>
  <c r="X154" i="5"/>
  <c r="V155" i="5"/>
  <c r="R155" i="5" s="1"/>
  <c r="X155" i="5"/>
  <c r="V156" i="5"/>
  <c r="X156" i="5"/>
  <c r="V157" i="5"/>
  <c r="X157" i="5"/>
  <c r="V158" i="5"/>
  <c r="R158" i="5" s="1"/>
  <c r="X158" i="5"/>
  <c r="V159" i="5"/>
  <c r="R159" i="5" s="1"/>
  <c r="X159" i="5"/>
  <c r="V160" i="5"/>
  <c r="R160" i="5" s="1"/>
  <c r="X160" i="5"/>
  <c r="V161" i="5"/>
  <c r="R161" i="5" s="1"/>
  <c r="X161" i="5"/>
  <c r="V162" i="5"/>
  <c r="X162" i="5"/>
  <c r="V163" i="5"/>
  <c r="X163" i="5"/>
  <c r="V164" i="5"/>
  <c r="R164" i="5" s="1"/>
  <c r="X164" i="5"/>
  <c r="V165" i="5"/>
  <c r="R165" i="5" s="1"/>
  <c r="X165" i="5"/>
  <c r="V166" i="5"/>
  <c r="X166" i="5"/>
  <c r="V167" i="5"/>
  <c r="X167" i="5"/>
  <c r="V168" i="5"/>
  <c r="X168" i="5"/>
  <c r="V169" i="5"/>
  <c r="X169" i="5"/>
  <c r="V170" i="5"/>
  <c r="X170" i="5"/>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c r="B56" i="6"/>
  <c r="G56" i="6"/>
  <c r="B55" i="6"/>
  <c r="G55" i="6"/>
  <c r="B54" i="6"/>
  <c r="G54" i="6" s="1"/>
  <c r="B17" i="6"/>
  <c r="G17" i="6" s="1"/>
  <c r="H17" i="6" s="1"/>
  <c r="B16" i="6"/>
  <c r="G16" i="6" s="1"/>
  <c r="H16" i="6" s="1"/>
  <c r="B15" i="6"/>
  <c r="B25" i="6" s="1"/>
  <c r="G25" i="6" s="1"/>
  <c r="B14" i="6"/>
  <c r="G14" i="6"/>
  <c r="H14" i="6"/>
  <c r="H13" i="6"/>
  <c r="B12" i="6"/>
  <c r="G12" i="6"/>
  <c r="H12" i="6"/>
  <c r="D12" i="6"/>
  <c r="B11" i="6"/>
  <c r="G11" i="6"/>
  <c r="H11" i="6"/>
  <c r="D11" i="6"/>
  <c r="G9" i="6"/>
  <c r="H9" i="6"/>
  <c r="D9" i="6" s="1"/>
  <c r="B8" i="6"/>
  <c r="G8" i="6"/>
  <c r="H8" i="6" s="1"/>
  <c r="D8" i="6" s="1"/>
  <c r="B7" i="6"/>
  <c r="G7" i="6" s="1"/>
  <c r="H7" i="6" s="1"/>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R157" i="5"/>
  <c r="R137" i="5"/>
  <c r="R121" i="5"/>
  <c r="R96" i="5"/>
  <c r="R88" i="5"/>
  <c r="R84" i="5"/>
  <c r="R82" i="5"/>
  <c r="R78" i="5"/>
  <c r="R76" i="5"/>
  <c r="R72" i="5"/>
  <c r="R66" i="5"/>
  <c r="R65" i="5"/>
  <c r="R64" i="5"/>
  <c r="R60" i="5"/>
  <c r="R53" i="5"/>
  <c r="R52" i="5"/>
  <c r="R50" i="5"/>
  <c r="R49" i="5"/>
  <c r="R48" i="5"/>
  <c r="R46" i="5"/>
  <c r="R40" i="5"/>
  <c r="R36" i="5"/>
  <c r="R34" i="5"/>
  <c r="R32" i="5"/>
  <c r="R24" i="5"/>
  <c r="R20" i="5"/>
  <c r="AB18" i="5"/>
  <c r="R6" i="5"/>
  <c r="AB6" i="5"/>
  <c r="B90" i="4"/>
  <c r="H67" i="4"/>
  <c r="P47" i="4"/>
  <c r="B47" i="4" s="1"/>
  <c r="A32" i="6" s="1"/>
  <c r="P46" i="4"/>
  <c r="P45" i="4"/>
  <c r="B45" i="4" s="1"/>
  <c r="A30" i="6" s="1"/>
  <c r="P44" i="4"/>
  <c r="B44" i="4" s="1"/>
  <c r="A29" i="6" s="1"/>
  <c r="P43" i="4"/>
  <c r="Q43" i="4"/>
  <c r="P41" i="4"/>
  <c r="P40" i="4"/>
  <c r="P39" i="4"/>
  <c r="P38" i="4"/>
  <c r="B38" i="4" s="1"/>
  <c r="B68" i="4" s="1"/>
  <c r="A49" i="6" s="1"/>
  <c r="P37" i="4"/>
  <c r="Q37" i="4"/>
  <c r="B85" i="4" s="1"/>
  <c r="A60" i="6" s="1"/>
  <c r="P35" i="4"/>
  <c r="P34" i="4"/>
  <c r="P33" i="4"/>
  <c r="P32" i="4"/>
  <c r="P31" i="4"/>
  <c r="Q31" i="4"/>
  <c r="P29" i="4"/>
  <c r="B29" i="4" s="1"/>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54" i="5"/>
  <c r="R74" i="5"/>
  <c r="R189" i="5"/>
  <c r="AB210" i="5"/>
  <c r="R225" i="5"/>
  <c r="F225" i="5"/>
  <c r="F309" i="5"/>
  <c r="F357" i="5"/>
  <c r="R463" i="5"/>
  <c r="F586" i="5"/>
  <c r="I714" i="5"/>
  <c r="J714" i="5"/>
  <c r="S738" i="5"/>
  <c r="R94" i="5"/>
  <c r="AB170" i="5"/>
  <c r="H452" i="5"/>
  <c r="F452" i="5"/>
  <c r="S1497" i="5"/>
  <c r="R237" i="5"/>
  <c r="F237" i="5"/>
  <c r="J262" i="5"/>
  <c r="AB262" i="5"/>
  <c r="AB298" i="5"/>
  <c r="F451" i="5"/>
  <c r="R453" i="5"/>
  <c r="J453" i="5"/>
  <c r="H453" i="5"/>
  <c r="F453" i="5"/>
  <c r="AB1447" i="5"/>
  <c r="S1447" i="5"/>
  <c r="R22" i="5"/>
  <c r="R90" i="5"/>
  <c r="AB114" i="5"/>
  <c r="R167" i="5"/>
  <c r="H187" i="5"/>
  <c r="R187" i="5"/>
  <c r="I187" i="5"/>
  <c r="I275" i="5"/>
  <c r="F275" i="5"/>
  <c r="I361" i="5"/>
  <c r="J361" i="5"/>
  <c r="H361" i="5"/>
  <c r="F361" i="5"/>
  <c r="I479" i="5"/>
  <c r="H479" i="5"/>
  <c r="F574" i="5"/>
  <c r="S641" i="5"/>
  <c r="R59" i="5"/>
  <c r="H171" i="5"/>
  <c r="R171" i="5"/>
  <c r="J171" i="5"/>
  <c r="I194" i="5"/>
  <c r="F468" i="5"/>
  <c r="R562" i="5"/>
  <c r="I1848" i="5"/>
  <c r="H1848"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109" i="5"/>
  <c r="R133" i="5"/>
  <c r="R169" i="5"/>
  <c r="H195" i="5"/>
  <c r="F195" i="5"/>
  <c r="R195" i="5"/>
  <c r="I195" i="5"/>
  <c r="J195" i="5"/>
  <c r="F193" i="5"/>
  <c r="H227" i="5"/>
  <c r="R227" i="5"/>
  <c r="F227" i="5"/>
  <c r="J227" i="5"/>
  <c r="I227" i="5"/>
  <c r="F177" i="5"/>
  <c r="R177" i="5"/>
  <c r="H183" i="5"/>
  <c r="F183" i="5"/>
  <c r="I183" i="5"/>
  <c r="R183" i="5"/>
  <c r="J183" i="5"/>
  <c r="R241" i="5"/>
  <c r="F241" i="5"/>
  <c r="H247" i="5"/>
  <c r="I247" i="5"/>
  <c r="F247" i="5"/>
  <c r="R247" i="5"/>
  <c r="J247" i="5"/>
  <c r="H259" i="5"/>
  <c r="R259" i="5"/>
  <c r="J259" i="5"/>
  <c r="I259" i="5"/>
  <c r="F259" i="5"/>
  <c r="F173" i="5"/>
  <c r="R173" i="5"/>
  <c r="I373" i="5"/>
  <c r="R373" i="5"/>
  <c r="J373" i="5"/>
  <c r="H373" i="5"/>
  <c r="F373" i="5"/>
  <c r="R83" i="5"/>
  <c r="R51" i="5"/>
  <c r="H199" i="5"/>
  <c r="R199" i="5"/>
  <c r="J199" i="5"/>
  <c r="I199" i="5"/>
  <c r="F199" i="5"/>
  <c r="R131" i="5"/>
  <c r="R119" i="5"/>
  <c r="R197" i="5"/>
  <c r="F197" i="5"/>
  <c r="H223" i="5"/>
  <c r="R223" i="5"/>
  <c r="J223" i="5"/>
  <c r="F223" i="5"/>
  <c r="I223" i="5"/>
  <c r="R229" i="5"/>
  <c r="F229" i="5"/>
  <c r="R337" i="5"/>
  <c r="J337" i="5"/>
  <c r="H337" i="5"/>
  <c r="F337" i="5"/>
  <c r="H203" i="5"/>
  <c r="R203" i="5"/>
  <c r="J203" i="5"/>
  <c r="I203" i="5"/>
  <c r="F203" i="5"/>
  <c r="R249" i="5"/>
  <c r="F24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AB22" i="5"/>
  <c r="R95" i="5"/>
  <c r="AB108" i="5"/>
  <c r="AB124" i="5"/>
  <c r="AB128" i="5"/>
  <c r="AB14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AB162"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AB179" i="5"/>
  <c r="AB201" i="5"/>
  <c r="H234" i="5"/>
  <c r="F234" i="5"/>
  <c r="R234" i="5"/>
  <c r="J234" i="5"/>
  <c r="I234" i="5"/>
  <c r="H254" i="5"/>
  <c r="F254" i="5"/>
  <c r="R254" i="5"/>
  <c r="J254" i="5"/>
  <c r="I254" i="5"/>
  <c r="H286" i="5"/>
  <c r="F286" i="5"/>
  <c r="R286" i="5"/>
  <c r="J286" i="5"/>
  <c r="I286" i="5"/>
  <c r="AB320" i="5"/>
  <c r="AB412" i="5"/>
  <c r="AB105" i="5"/>
  <c r="AB137" i="5"/>
  <c r="AB147" i="5"/>
  <c r="AB169" i="5"/>
  <c r="F178" i="5"/>
  <c r="R178" i="5"/>
  <c r="J178" i="5"/>
  <c r="J181" i="5"/>
  <c r="I181" i="5"/>
  <c r="H181" i="5"/>
  <c r="J209" i="5"/>
  <c r="I209" i="5"/>
  <c r="H209" i="5"/>
  <c r="AB240" i="5"/>
  <c r="H270" i="5"/>
  <c r="F270" i="5"/>
  <c r="R270" i="5"/>
  <c r="J270" i="5"/>
  <c r="I270" i="5"/>
  <c r="R311" i="5"/>
  <c r="H311" i="5"/>
  <c r="I311" i="5"/>
  <c r="F311" i="5"/>
  <c r="J311" i="5"/>
  <c r="AB20" i="5"/>
  <c r="AB28" i="5"/>
  <c r="AB34" i="5"/>
  <c r="AB38" i="5"/>
  <c r="AB42" i="5"/>
  <c r="AB46" i="5"/>
  <c r="AB50" i="5"/>
  <c r="AB54" i="5"/>
  <c r="AB58" i="5"/>
  <c r="AB62" i="5"/>
  <c r="AB66" i="5"/>
  <c r="AB70" i="5"/>
  <c r="AB74" i="5"/>
  <c r="AB78" i="5"/>
  <c r="AB82" i="5"/>
  <c r="AB86" i="5"/>
  <c r="AB90" i="5"/>
  <c r="AB94" i="5"/>
  <c r="AB98" i="5"/>
  <c r="AB104" i="5"/>
  <c r="AB117" i="5"/>
  <c r="AB127" i="5"/>
  <c r="AB136" i="5"/>
  <c r="AB149" i="5"/>
  <c r="AB159"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R118" i="5"/>
  <c r="AB121" i="5"/>
  <c r="AB131" i="5"/>
  <c r="AB153" i="5"/>
  <c r="R162" i="5"/>
  <c r="AB163"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AB141"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AB143" i="5"/>
  <c r="AB152" i="5"/>
  <c r="AB165"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AB123" i="5"/>
  <c r="AB145" i="5"/>
  <c r="R154" i="5"/>
  <c r="AB155"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8" i="5"/>
  <c r="R31" i="5"/>
  <c r="R102" i="5"/>
  <c r="AB103" i="5"/>
  <c r="AB112" i="5"/>
  <c r="AB125" i="5"/>
  <c r="AB135" i="5"/>
  <c r="AB144" i="5"/>
  <c r="AB157" i="5"/>
  <c r="R166" i="5"/>
  <c r="AB167"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B20"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6" i="6" s="1"/>
  <c r="G46" i="6" s="1"/>
  <c r="B51" i="6"/>
  <c r="G51" i="6" s="1"/>
  <c r="B19" i="6"/>
  <c r="B29" i="6" s="1"/>
  <c r="G29" i="6" s="1"/>
  <c r="A38" i="2"/>
  <c r="J4" i="5"/>
  <c r="B41" i="4"/>
  <c r="A27" i="6" s="1"/>
  <c r="A55" i="2"/>
  <c r="A73" i="2"/>
  <c r="B9" i="3"/>
  <c r="A3" i="2"/>
  <c r="A20" i="2"/>
  <c r="B17" i="3"/>
  <c r="B25" i="3"/>
  <c r="C20" i="3"/>
  <c r="A75" i="2"/>
  <c r="C25" i="3"/>
  <c r="N4" i="5"/>
  <c r="A43" i="2"/>
  <c r="C3" i="3"/>
  <c r="C19" i="3"/>
  <c r="P4" i="5"/>
  <c r="A45" i="2"/>
  <c r="C4" i="3"/>
  <c r="B26" i="4"/>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A4" i="5"/>
  <c r="I4" i="5"/>
  <c r="I14" i="6"/>
  <c r="I15" i="6"/>
  <c r="I16" i="6"/>
  <c r="I17" i="6"/>
  <c r="J24" i="6"/>
  <c r="I25" i="6"/>
  <c r="J36" i="6"/>
  <c r="I37" i="6"/>
  <c r="J44" i="6"/>
  <c r="I45" i="6"/>
  <c r="J52" i="6"/>
  <c r="J62" i="6"/>
  <c r="I63" i="6"/>
  <c r="I64" i="6"/>
  <c r="J65" i="6"/>
  <c r="I66" i="6"/>
  <c r="B58" i="1"/>
  <c r="F4" i="8"/>
  <c r="H4" i="8"/>
  <c r="I4" i="8"/>
  <c r="C4" i="8"/>
  <c r="S150" i="5"/>
  <c r="S491" i="5"/>
  <c r="S511"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41" i="6"/>
  <c r="G41"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0" i="6"/>
  <c r="G50" i="6" s="1"/>
  <c r="B44" i="6"/>
  <c r="G44"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B36" i="6"/>
  <c r="G36" i="6"/>
  <c r="G20" i="6"/>
  <c r="H20" i="6"/>
  <c r="D20"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80" i="5"/>
  <c r="H180" i="5"/>
  <c r="F180" i="5"/>
  <c r="R180" i="5"/>
  <c r="I180" i="5"/>
  <c r="J200" i="5"/>
  <c r="H200" i="5"/>
  <c r="F200" i="5"/>
  <c r="R200" i="5"/>
  <c r="I200" i="5"/>
  <c r="R156" i="5"/>
  <c r="J308" i="5"/>
  <c r="R308" i="5"/>
  <c r="H308" i="5"/>
  <c r="F308" i="5"/>
  <c r="I308" i="5"/>
  <c r="R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212" i="5"/>
  <c r="I212" i="5"/>
  <c r="H212" i="5"/>
  <c r="F212" i="5"/>
  <c r="R212" i="5"/>
  <c r="R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36" i="5"/>
  <c r="J320" i="5"/>
  <c r="F320" i="5"/>
  <c r="R320" i="5"/>
  <c r="I320" i="5"/>
  <c r="H320" i="5"/>
  <c r="S566" i="5"/>
  <c r="S412" i="5"/>
  <c r="S363" i="5"/>
  <c r="S226" i="5"/>
  <c r="S542" i="5"/>
  <c r="S360"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202" i="5"/>
  <c r="S519" i="5"/>
  <c r="S209" i="5"/>
  <c r="S253" i="5"/>
  <c r="S258"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515" i="5"/>
  <c r="S289" i="5"/>
  <c r="S181" i="5"/>
  <c r="S313" i="5"/>
  <c r="S242" i="5"/>
  <c r="S307" i="5"/>
  <c r="S337" i="5"/>
  <c r="S555" i="5"/>
  <c r="S570" i="5"/>
  <c r="S154" i="5"/>
  <c r="S301" i="5"/>
  <c r="S246" i="5"/>
  <c r="S254" i="5"/>
  <c r="S206" i="5"/>
  <c r="S325" i="5"/>
  <c r="S527" i="5"/>
  <c r="S369" i="5"/>
  <c r="S381" i="5"/>
  <c r="S309" i="5"/>
  <c r="S597" i="5"/>
  <c r="S599" i="5"/>
  <c r="S611" i="5"/>
  <c r="S601" i="5"/>
  <c r="S600" i="5"/>
  <c r="S382" i="5"/>
  <c r="S533" i="5"/>
  <c r="S355" i="5"/>
  <c r="S602" i="5"/>
  <c r="S603" i="5"/>
  <c r="S605" i="5"/>
  <c r="S607" i="5"/>
  <c r="S314" i="5"/>
  <c r="AB12" i="5"/>
  <c r="AB9" i="5"/>
  <c r="AB10" i="5"/>
  <c r="AB14" i="5"/>
  <c r="AB17" i="5"/>
  <c r="AB16" i="5"/>
  <c r="AB8" i="5"/>
  <c r="AB13" i="5"/>
  <c r="AB15" i="5"/>
  <c r="AB11" i="5"/>
  <c r="AB7" i="5"/>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R16" i="5"/>
  <c r="R10" i="5"/>
  <c r="R13" i="5"/>
  <c r="R7" i="5"/>
  <c r="R12" i="5"/>
  <c r="R11" i="5"/>
  <c r="R14" i="5"/>
  <c r="S53" i="5"/>
  <c r="S145" i="5"/>
  <c r="S129" i="5"/>
  <c r="S99" i="5"/>
  <c r="S50" i="5"/>
  <c r="S38" i="5"/>
  <c r="S90" i="5"/>
  <c r="S63" i="5"/>
  <c r="S52" i="5"/>
  <c r="S103" i="5"/>
  <c r="S16" i="5"/>
  <c r="S61" i="5"/>
  <c r="S106" i="5"/>
  <c r="S135" i="5"/>
  <c r="S49" i="5"/>
  <c r="S27" i="5"/>
  <c r="S141" i="5"/>
  <c r="S64" i="5"/>
  <c r="S102" i="5"/>
  <c r="S15" i="5"/>
  <c r="S147" i="5"/>
  <c r="S47" i="5"/>
  <c r="S137" i="5"/>
  <c r="S81" i="5"/>
  <c r="S28" i="5"/>
  <c r="S117" i="5"/>
  <c r="S56" i="5"/>
  <c r="S36" i="5"/>
  <c r="S138" i="5"/>
  <c r="S78" i="5"/>
  <c r="S93" i="5"/>
  <c r="S88" i="5"/>
  <c r="S125" i="5"/>
  <c r="S34" i="5"/>
  <c r="S22" i="5"/>
  <c r="S104" i="5"/>
  <c r="S31" i="5"/>
  <c r="S80" i="5"/>
  <c r="S122" i="5"/>
  <c r="S87" i="5"/>
  <c r="S45" i="5"/>
  <c r="S69" i="5"/>
  <c r="S70" i="5"/>
  <c r="S123" i="5"/>
  <c r="S105" i="5"/>
  <c r="S111" i="5"/>
  <c r="S25" i="5"/>
  <c r="S130" i="5"/>
  <c r="S86" i="5"/>
  <c r="S126" i="5"/>
  <c r="S29" i="5"/>
  <c r="S82" i="5"/>
  <c r="S76" i="5"/>
  <c r="S6" i="5"/>
  <c r="S71" i="5"/>
  <c r="S120" i="5"/>
  <c r="S13" i="5"/>
  <c r="S42" i="5"/>
  <c r="S40" i="5"/>
  <c r="S74" i="5"/>
  <c r="S72" i="5"/>
  <c r="S100" i="5"/>
  <c r="S14" i="5"/>
  <c r="S85" i="5"/>
  <c r="S62" i="5"/>
  <c r="S46" i="5"/>
  <c r="S132" i="5"/>
  <c r="S131" i="5"/>
  <c r="S114" i="5"/>
  <c r="S30" i="5"/>
  <c r="S35" i="5"/>
  <c r="S55" i="5"/>
  <c r="S26" i="5"/>
  <c r="S41" i="5"/>
  <c r="S44" i="5"/>
  <c r="S133" i="5"/>
  <c r="S110" i="5"/>
  <c r="S20" i="5"/>
  <c r="S142" i="5"/>
  <c r="S60" i="5"/>
  <c r="S144" i="5"/>
  <c r="S128" i="5"/>
  <c r="S10" i="5"/>
  <c r="S77" i="5"/>
  <c r="S83" i="5"/>
  <c r="S75" i="5"/>
  <c r="S73" i="5"/>
  <c r="S23" i="5"/>
  <c r="S96" i="5"/>
  <c r="S98" i="5"/>
  <c r="S118" i="5"/>
  <c r="S84" i="5"/>
  <c r="S112" i="5"/>
  <c r="S11" i="5"/>
  <c r="S97" i="5"/>
  <c r="S95" i="5"/>
  <c r="S119" i="5"/>
  <c r="S67" i="5"/>
  <c r="S33" i="5"/>
  <c r="S68" i="5"/>
  <c r="S134" i="5"/>
  <c r="S48" i="5"/>
  <c r="S107" i="5"/>
  <c r="S101" i="5"/>
  <c r="S108" i="5"/>
  <c r="S8" i="5"/>
  <c r="S18" i="5"/>
  <c r="S19" i="5"/>
  <c r="S51" i="5"/>
  <c r="S139" i="5"/>
  <c r="S43" i="5"/>
  <c r="S17" i="5"/>
  <c r="S58" i="5"/>
  <c r="S143" i="5"/>
  <c r="S109" i="5"/>
  <c r="S116" i="5"/>
  <c r="S9" i="5"/>
  <c r="S37" i="5"/>
  <c r="S21" i="5"/>
  <c r="S7" i="5"/>
  <c r="S57" i="5"/>
  <c r="S121" i="5"/>
  <c r="S140" i="5"/>
  <c r="S127" i="5"/>
  <c r="S54" i="5"/>
  <c r="S113" i="5"/>
  <c r="S115" i="5"/>
  <c r="S91" i="5"/>
  <c r="S92" i="5"/>
  <c r="S66" i="5"/>
  <c r="S39" i="5"/>
  <c r="S24" i="5"/>
  <c r="S59" i="5"/>
  <c r="S32" i="5"/>
  <c r="S146" i="5"/>
  <c r="S79" i="5"/>
  <c r="S5" i="5"/>
  <c r="S94" i="5"/>
  <c r="S65" i="5"/>
  <c r="S12" i="5"/>
  <c r="S89" i="5"/>
  <c r="S136" i="5"/>
  <c r="S124" i="5"/>
  <c r="G64" i="6" a="1"/>
  <c r="G66" i="6" l="1"/>
  <c r="G68" i="6"/>
  <c r="G67" i="6"/>
  <c r="G65" i="6"/>
  <c r="B83" i="4"/>
  <c r="A59" i="6" s="1"/>
  <c r="D17" i="6"/>
  <c r="B22" i="6"/>
  <c r="B32" i="6" s="1"/>
  <c r="G32" i="6" s="1"/>
  <c r="B42" i="6"/>
  <c r="G42" i="6" s="1"/>
  <c r="F22" i="6"/>
  <c r="C17" i="6"/>
  <c r="H21" i="6"/>
  <c r="D21" i="6" s="1"/>
  <c r="K67" i="6"/>
  <c r="D16" i="6"/>
  <c r="F26" i="6"/>
  <c r="C21" i="6"/>
  <c r="G21" i="6"/>
  <c r="B26" i="6"/>
  <c r="G26" i="6" s="1"/>
  <c r="B43" i="4"/>
  <c r="A28" i="6" s="1"/>
  <c r="B31" i="6"/>
  <c r="G31" i="6" s="1"/>
  <c r="C16" i="6"/>
  <c r="B40" i="6"/>
  <c r="G40" i="6" s="1"/>
  <c r="C14" i="6"/>
  <c r="B61" i="4"/>
  <c r="A43" i="6" s="1"/>
  <c r="B55" i="4"/>
  <c r="A38" i="6" s="1"/>
  <c r="B49" i="4"/>
  <c r="A33" i="6" s="1"/>
  <c r="B37" i="4"/>
  <c r="A23" i="6" s="1"/>
  <c r="B89" i="4"/>
  <c r="A63" i="6" s="1"/>
  <c r="F25" i="6"/>
  <c r="C20" i="6"/>
  <c r="B35" i="6"/>
  <c r="G35" i="6" s="1"/>
  <c r="C12" i="6"/>
  <c r="B87" i="4"/>
  <c r="A62" i="6" s="1"/>
  <c r="B31" i="4"/>
  <c r="A18" i="6" s="1"/>
  <c r="B30" i="6"/>
  <c r="G30" i="6" s="1"/>
  <c r="B75" i="4"/>
  <c r="A54" i="6" s="1"/>
  <c r="G15" i="6"/>
  <c r="H15" i="6" s="1"/>
  <c r="C15" i="6" s="1"/>
  <c r="B45" i="6"/>
  <c r="G45" i="6" s="1"/>
  <c r="B79" i="4"/>
  <c r="A57" i="6" s="1"/>
  <c r="G19" i="6"/>
  <c r="H19" i="6" s="1"/>
  <c r="D19" i="6" s="1"/>
  <c r="F24" i="6"/>
  <c r="B24" i="6"/>
  <c r="G24" i="6" s="1"/>
  <c r="B39" i="6"/>
  <c r="G39" i="6" s="1"/>
  <c r="B34" i="6"/>
  <c r="G34" i="6" s="1"/>
  <c r="B77" i="4"/>
  <c r="A55" i="6" s="1"/>
  <c r="B67" i="4"/>
  <c r="A48" i="6" s="1"/>
  <c r="B49" i="6"/>
  <c r="G49" i="6" s="1"/>
  <c r="B81" i="4"/>
  <c r="A58" i="6" s="1"/>
  <c r="C11" i="6"/>
  <c r="C10" i="6"/>
  <c r="C9" i="6"/>
  <c r="C8" i="6"/>
  <c r="C7" i="6"/>
  <c r="B52" i="4"/>
  <c r="A36" i="6" s="1"/>
  <c r="A26" i="6"/>
  <c r="D74" i="4"/>
  <c r="A16" i="6"/>
  <c r="H6" i="6"/>
  <c r="D6" i="6" s="1"/>
  <c r="B35" i="4"/>
  <c r="A22" i="6" s="1"/>
  <c r="A17" i="6"/>
  <c r="G49" i="4"/>
  <c r="B59" i="4"/>
  <c r="A42" i="6" s="1"/>
  <c r="C6" i="6"/>
  <c r="B63" i="4"/>
  <c r="A45" i="6" s="1"/>
  <c r="C5" i="6"/>
  <c r="F64" i="6"/>
  <c r="G5" i="6"/>
  <c r="H5" i="6" s="1"/>
  <c r="D5" i="6" s="1"/>
  <c r="B69" i="4"/>
  <c r="A50" i="6" s="1"/>
  <c r="A15" i="6"/>
  <c r="B33" i="4"/>
  <c r="A20" i="6" s="1"/>
  <c r="B56" i="4"/>
  <c r="A39" i="6" s="1"/>
  <c r="A24" i="6"/>
  <c r="D55" i="4"/>
  <c r="D67" i="4"/>
  <c r="D61" i="4"/>
  <c r="D43" i="4"/>
  <c r="B71" i="4"/>
  <c r="A52" i="6" s="1"/>
  <c r="D31" i="4"/>
  <c r="A14" i="6"/>
  <c r="B32" i="4"/>
  <c r="A19" i="6" s="1"/>
  <c r="D37" i="4"/>
  <c r="C4" i="6"/>
  <c r="G69" i="6" a="1"/>
  <c r="G69" i="6" s="1"/>
  <c r="H69" i="6" s="1"/>
  <c r="G64" i="6"/>
  <c r="B51" i="4"/>
  <c r="A35" i="6" s="1"/>
  <c r="B64" i="4"/>
  <c r="A46" i="6" s="1"/>
  <c r="B70" i="4"/>
  <c r="A51" i="6" s="1"/>
  <c r="B57" i="4"/>
  <c r="A40" i="6" s="1"/>
  <c r="G55" i="4"/>
  <c r="B53" i="4"/>
  <c r="A37" i="6" s="1"/>
  <c r="B65" i="4"/>
  <c r="A47" i="6" s="1"/>
  <c r="G61" i="4"/>
  <c r="G37" i="4"/>
  <c r="G74" i="4"/>
  <c r="G43" i="4"/>
  <c r="B62" i="4"/>
  <c r="A44" i="6" s="1"/>
  <c r="B50" i="4"/>
  <c r="A34" i="6" s="1"/>
  <c r="G31" i="4"/>
  <c r="T124" i="5"/>
  <c r="T39" i="5"/>
  <c r="T21" i="5"/>
  <c r="T18" i="5"/>
  <c r="T97" i="5"/>
  <c r="T10" i="5"/>
  <c r="T35" i="5"/>
  <c r="T40" i="5"/>
  <c r="T25" i="5"/>
  <c r="T22" i="5"/>
  <c r="T137" i="5"/>
  <c r="T103" i="5"/>
  <c r="T102" i="5"/>
  <c r="T98" i="5"/>
  <c r="T69" i="5"/>
  <c r="T78" i="5"/>
  <c r="T136" i="5"/>
  <c r="T66" i="5"/>
  <c r="T37" i="5"/>
  <c r="T8" i="5"/>
  <c r="T11" i="5"/>
  <c r="T128" i="5"/>
  <c r="T30" i="5"/>
  <c r="T42" i="5"/>
  <c r="T111" i="5"/>
  <c r="T34" i="5"/>
  <c r="T147" i="5"/>
  <c r="T52" i="5"/>
  <c r="T90" i="5"/>
  <c r="T46" i="5"/>
  <c r="T50" i="5"/>
  <c r="T76" i="5"/>
  <c r="T146" i="5"/>
  <c r="T43" i="5"/>
  <c r="T33" i="5"/>
  <c r="T73" i="5"/>
  <c r="T44" i="5"/>
  <c r="T14" i="5"/>
  <c r="T29" i="5"/>
  <c r="T56" i="5"/>
  <c r="T135" i="5"/>
  <c r="T121" i="5"/>
  <c r="T67" i="5"/>
  <c r="T41" i="5"/>
  <c r="T100" i="5"/>
  <c r="T80" i="5"/>
  <c r="T117" i="5"/>
  <c r="T53" i="5"/>
  <c r="T89" i="5"/>
  <c r="T92" i="5"/>
  <c r="T9" i="5"/>
  <c r="T108" i="5"/>
  <c r="T112" i="5"/>
  <c r="T144" i="5"/>
  <c r="T114" i="5"/>
  <c r="T13" i="5"/>
  <c r="T105" i="5"/>
  <c r="T125" i="5"/>
  <c r="T15" i="5"/>
  <c r="T63" i="5"/>
  <c r="T131" i="5"/>
  <c r="T120" i="5"/>
  <c r="T123" i="5"/>
  <c r="T88" i="5"/>
  <c r="T45" i="5"/>
  <c r="T138" i="5"/>
  <c r="T27" i="5"/>
  <c r="T99" i="5"/>
  <c r="T79" i="5"/>
  <c r="T127" i="5"/>
  <c r="T17" i="5"/>
  <c r="T68" i="5"/>
  <c r="T23" i="5"/>
  <c r="T133" i="5"/>
  <c r="T85" i="5"/>
  <c r="T82" i="5"/>
  <c r="T87" i="5"/>
  <c r="T36" i="5"/>
  <c r="T49" i="5"/>
  <c r="T129" i="5"/>
  <c r="T12" i="5"/>
  <c r="T91" i="5"/>
  <c r="T116" i="5"/>
  <c r="T101" i="5"/>
  <c r="T84" i="5"/>
  <c r="T60" i="5"/>
  <c r="T139" i="5"/>
  <c r="T65" i="5"/>
  <c r="T115" i="5"/>
  <c r="T109" i="5"/>
  <c r="T107" i="5"/>
  <c r="T118" i="5"/>
  <c r="T142" i="5"/>
  <c r="T132" i="5"/>
  <c r="T71" i="5"/>
  <c r="T70" i="5"/>
  <c r="T93" i="5"/>
  <c r="T64" i="5"/>
  <c r="T38" i="5"/>
  <c r="T94" i="5"/>
  <c r="T113" i="5"/>
  <c r="T143" i="5"/>
  <c r="T48" i="5"/>
  <c r="T140" i="5"/>
  <c r="T122" i="5"/>
  <c r="T145" i="5"/>
  <c r="T32" i="5"/>
  <c r="T75" i="5"/>
  <c r="T126" i="5"/>
  <c r="T106" i="5"/>
  <c r="T59" i="5"/>
  <c r="T57" i="5"/>
  <c r="T51" i="5"/>
  <c r="T119" i="5"/>
  <c r="T83" i="5"/>
  <c r="T26" i="5"/>
  <c r="T72" i="5"/>
  <c r="T86" i="5"/>
  <c r="T31" i="5"/>
  <c r="T28" i="5"/>
  <c r="T61" i="5"/>
  <c r="T6" i="5"/>
  <c r="T54" i="5"/>
  <c r="T134" i="5"/>
  <c r="T110" i="5"/>
  <c r="T62" i="5"/>
  <c r="T24" i="5"/>
  <c r="T7" i="5"/>
  <c r="T19" i="5"/>
  <c r="T95" i="5"/>
  <c r="T77" i="5"/>
  <c r="T55" i="5"/>
  <c r="T74" i="5"/>
  <c r="T130" i="5"/>
  <c r="T104" i="5"/>
  <c r="T81" i="5"/>
  <c r="T16" i="5"/>
  <c r="T20" i="5"/>
  <c r="T141" i="5"/>
  <c r="T5" i="5"/>
  <c r="T58" i="5"/>
  <c r="T96" i="5"/>
  <c r="B37" i="6" l="1"/>
  <c r="G37" i="6" s="1"/>
  <c r="B27" i="6"/>
  <c r="G27" i="6" s="1"/>
  <c r="C19" i="6"/>
  <c r="K65" i="6"/>
  <c r="B52" i="6"/>
  <c r="G52" i="6" s="1"/>
  <c r="F27" i="6"/>
  <c r="G22" i="6"/>
  <c r="H22" i="6" s="1"/>
  <c r="B47" i="6"/>
  <c r="G47" i="6" s="1"/>
  <c r="F36" i="6"/>
  <c r="H36" i="6" s="1"/>
  <c r="F51" i="6"/>
  <c r="H51" i="6" s="1"/>
  <c r="H26" i="6"/>
  <c r="F67" i="6"/>
  <c r="H67" i="6" s="1"/>
  <c r="F31" i="6"/>
  <c r="H31" i="6" s="1"/>
  <c r="F46" i="6"/>
  <c r="H46" i="6" s="1"/>
  <c r="F41" i="6"/>
  <c r="H41" i="6" s="1"/>
  <c r="F45" i="6"/>
  <c r="H45" i="6" s="1"/>
  <c r="F40" i="6"/>
  <c r="H40" i="6" s="1"/>
  <c r="F66" i="6"/>
  <c r="H66" i="6" s="1"/>
  <c r="F50" i="6"/>
  <c r="H50" i="6" s="1"/>
  <c r="H25" i="6"/>
  <c r="F35" i="6"/>
  <c r="H35" i="6" s="1"/>
  <c r="F30" i="6"/>
  <c r="H30" i="6" s="1"/>
  <c r="K66" i="6"/>
  <c r="D15" i="6"/>
  <c r="F65" i="6"/>
  <c r="F49" i="6"/>
  <c r="H49" i="6" s="1"/>
  <c r="F29" i="6"/>
  <c r="H29" i="6" s="1"/>
  <c r="F44" i="6"/>
  <c r="H44" i="6" s="1"/>
  <c r="H24" i="6"/>
  <c r="F34" i="6"/>
  <c r="H34" i="6" s="1"/>
  <c r="F39" i="6"/>
  <c r="H39" i="6" s="1"/>
  <c r="F54" i="6"/>
  <c r="B64" i="6"/>
  <c r="H64" i="6"/>
  <c r="D22" i="6" l="1"/>
  <c r="K68" i="6"/>
  <c r="C22" i="6"/>
  <c r="D67" i="6"/>
  <c r="C67" i="6"/>
  <c r="D36" i="6"/>
  <c r="C36" i="6"/>
  <c r="D41" i="6"/>
  <c r="C41" i="6"/>
  <c r="D51" i="6"/>
  <c r="C51" i="6"/>
  <c r="D31" i="6"/>
  <c r="C31" i="6"/>
  <c r="F37" i="6"/>
  <c r="H37" i="6" s="1"/>
  <c r="F68" i="6"/>
  <c r="H68" i="6" s="1"/>
  <c r="F42" i="6"/>
  <c r="H42" i="6" s="1"/>
  <c r="H27" i="6"/>
  <c r="F32" i="6"/>
  <c r="H32" i="6" s="1"/>
  <c r="F52" i="6"/>
  <c r="H52" i="6" s="1"/>
  <c r="F47" i="6"/>
  <c r="H47" i="6" s="1"/>
  <c r="D46" i="6"/>
  <c r="C46" i="6"/>
  <c r="D26" i="6"/>
  <c r="C26" i="6"/>
  <c r="D30" i="6"/>
  <c r="C30" i="6"/>
  <c r="D25" i="6"/>
  <c r="C25" i="6"/>
  <c r="D35" i="6"/>
  <c r="C35" i="6"/>
  <c r="D39" i="6"/>
  <c r="C39" i="6"/>
  <c r="D50" i="6"/>
  <c r="C50" i="6"/>
  <c r="D29" i="6"/>
  <c r="C29" i="6"/>
  <c r="D34" i="6"/>
  <c r="C34" i="6"/>
  <c r="D66" i="6"/>
  <c r="C66" i="6"/>
  <c r="D24" i="6"/>
  <c r="C24" i="6"/>
  <c r="D40" i="6"/>
  <c r="C40" i="6"/>
  <c r="D49" i="6"/>
  <c r="C49" i="6"/>
  <c r="D44" i="6"/>
  <c r="C44" i="6"/>
  <c r="D45" i="6"/>
  <c r="C45" i="6"/>
  <c r="F59" i="6"/>
  <c r="H59" i="6" s="1"/>
  <c r="F57" i="6"/>
  <c r="H57" i="6" s="1"/>
  <c r="F58" i="6"/>
  <c r="H58" i="6" s="1"/>
  <c r="F60" i="6"/>
  <c r="H60" i="6" s="1"/>
  <c r="F63" i="6"/>
  <c r="H63" i="6" s="1"/>
  <c r="F55" i="6"/>
  <c r="H54" i="6"/>
  <c r="F62" i="6"/>
  <c r="H62" i="6" s="1"/>
  <c r="C2" i="6"/>
  <c r="B2" i="6"/>
  <c r="H65" i="6"/>
  <c r="D64" i="6"/>
  <c r="C64" i="6"/>
  <c r="D52" i="6" l="1"/>
  <c r="C52" i="6"/>
  <c r="D32" i="6"/>
  <c r="C32" i="6"/>
  <c r="D27" i="6"/>
  <c r="C27" i="6"/>
  <c r="D42" i="6"/>
  <c r="C42" i="6"/>
  <c r="D68" i="6"/>
  <c r="C68" i="6"/>
  <c r="D47" i="6"/>
  <c r="C47" i="6"/>
  <c r="D37" i="6"/>
  <c r="C37" i="6"/>
  <c r="D62" i="6"/>
  <c r="C62" i="6"/>
  <c r="D54" i="6"/>
  <c r="C54" i="6"/>
  <c r="D63" i="6"/>
  <c r="C63" i="6"/>
  <c r="D60" i="6"/>
  <c r="C60" i="6"/>
  <c r="H70" i="6"/>
  <c r="D2" i="6" s="1"/>
  <c r="D58" i="6"/>
  <c r="C58" i="6"/>
  <c r="D59" i="6"/>
  <c r="C59" i="6"/>
  <c r="D57" i="6"/>
  <c r="C57" i="6"/>
  <c r="D65" i="6"/>
  <c r="C65" i="6"/>
  <c r="H55" i="6"/>
  <c r="F56" i="6"/>
  <c r="H56" i="6" s="1"/>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<sst xmlns="http://schemas.openxmlformats.org/spreadsheetml/2006/main" count="23667" uniqueCount="15820">
  <si>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</si>
  <si>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</si>
  <si>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</si>
  <si>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</si>
  <si>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</si>
  <si>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</si>
  <si>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</si>
  <si>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</si>
  <si>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</si>
  <si>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</si>
  <si>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</si>
  <si>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</si>
  <si>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</si>
  <si>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</si>
  <si>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</si>
  <si>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</si>
  <si>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</si>
  <si>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</si>
  <si>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</si>
  <si>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</si>
  <si>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</si>
  <si>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</si>
  <si>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</si>
  <si>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</si>
  <si>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</si>
  <si>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</si>
  <si>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</si>
  <si>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</si>
  <si>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</si>
  <si>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</si>
  <si>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</si>
  <si>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</si>
  <si>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</si>
  <si>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</si>
  <si>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</si>
  <si>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</si>
  <si>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</si>
  <si>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</si>
  <si>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</si>
  <si>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</si>
  <si>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</si>
  <si>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</si>
  <si>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</si>
  <si>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</si>
  <si>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</si>
  <si>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</si>
  <si>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</si>
  <si>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</si>
  <si>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</si>
  <si>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</si>
  <si>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</si>
  <si>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</si>
  <si>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</si>
  <si>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</si>
  <si>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</si>
  <si>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</si>
  <si>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</si>
  <si>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</si>
  <si>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</si>
  <si>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</si>
  <si>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</si>
  <si>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</si>
  <si>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</si>
  <si>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</si>
  <si>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</si>
  <si>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</si>
  <si>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</si>
  <si>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</si>
  <si>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</si>
  <si>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</si>
  <si>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</si>
  <si>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</si>
  <si>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</si>
  <si>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</si>
  <si>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</si>
  <si>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</si>
  <si>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</si>
  <si>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</si>
  <si>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</si>
  <si>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</si>
  <si>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</si>
  <si>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</si>
  <si>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</si>
  <si>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</si>
  <si>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</si>
  <si>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</si>
  <si>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</si>
  <si>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</si>
  <si>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</si>
  <si>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</si>
  <si>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</si>
  <si>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</si>
  <si>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</si>
  <si>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</si>
  <si>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</si>
  <si>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</si>
  <si>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</si>
  <si>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</si>
  <si>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</si>
  <si>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</si>
  <si>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</si>
  <si>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</si>
  <si>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</si>
  <si>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</si>
  <si>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</si>
  <si>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</si>
  <si>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</si>
  <si>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</si>
  <si>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</si>
  <si>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</si>
  <si>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</si>
  <si>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</si>
  <si>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</si>
  <si>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</si>
  <si>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</si>
  <si>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</si>
  <si>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</si>
  <si>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</si>
  <si>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</si>
  <si>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</si>
  <si>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</si>
  <si>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</si>
  <si>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</si>
  <si>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</si>
  <si>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</si>
  <si>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</si>
  <si>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</si>
  <si>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</si>
  <si>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</si>
  <si>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</si>
  <si>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</si>
  <si>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</si>
  <si>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</si>
  <si>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</si>
  <si>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</si>
  <si>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</si>
  <si>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</si>
  <si>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</si>
  <si>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</si>
  <si>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</si>
  <si>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</si>
  <si>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</si>
  <si>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</si>
  <si>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</si>
  <si>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</si>
  <si>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</si>
  <si>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</si>
  <si>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</si>
  <si>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</si>
  <si>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</si>
  <si>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</si>
  <si>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</si>
  <si>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</si>
  <si>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</si>
  <si>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</si>
  <si>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</si>
  <si>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</si>
  <si>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</si>
  <si>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</si>
  <si>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</si>
  <si>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</si>
  <si>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</si>
  <si>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</si>
  <si>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</si>
  <si>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</si>
  <si>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</si>
  <si>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</si>
  <si>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</si>
  <si>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</si>
  <si>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</si>
  <si>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</si>
  <si>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</si>
  <si>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</si>
  <si>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</si>
  <si>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</si>
  <si>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</si>
  <si>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</si>
  <si>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</si>
  <si>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</si>
  <si>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</si>
  <si>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</si>
  <si>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</si>
  <si>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</si>
  <si>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</si>
  <si>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</si>
  <si>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</si>
  <si>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</si>
  <si>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</si>
  <si>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</si>
  <si>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</si>
  <si>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</si>
  <si>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</si>
  <si>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</si>
  <si>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</si>
  <si>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</si>
  <si>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</si>
  <si>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</si>
  <si>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</si>
  <si>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</si>
  <si>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</si>
  <si>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</si>
  <si>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</si>
  <si>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</si>
  <si>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</si>
  <si>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</si>
  <si>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</si>
  <si>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</si>
  <si>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</si>
  <si>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</si>
  <si>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</si>
  <si>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</si>
  <si>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</si>
  <si>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</si>
  <si>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</si>
  <si>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</si>
  <si>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</si>
  <si>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</si>
  <si>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</si>
  <si>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</si>
  <si>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</si>
  <si>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</si>
  <si>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</si>
  <si>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</si>
  <si>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</si>
  <si>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</si>
  <si>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</si>
  <si>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</si>
  <si>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</si>
  <si>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</si>
  <si>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</si>
  <si>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</si>
  <si>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</si>
  <si>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</si>
  <si>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</si>
  <si>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</si>
  <si>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</si>
  <si>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</si>
  <si>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</si>
  <si>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</si>
  <si>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</si>
  <si>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</si>
  <si>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</si>
  <si>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</si>
  <si>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</si>
  <si>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</si>
  <si>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</si>
  <si>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</si>
  <si>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</si>
  <si>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</si>
  <si>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</si>
  <si>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</si>
  <si>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</si>
  <si>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</si>
  <si>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</si>
  <si>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</si>
  <si>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</si>
  <si>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</si>
  <si>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</si>
  <si>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</si>
  <si>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</si>
  <si>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</si>
  <si>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</si>
  <si>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</si>
  <si>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</si>
  <si>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</si>
  <si>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</si>
  <si>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</si>
  <si>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</si>
  <si>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</si>
  <si>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</si>
  <si>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</si>
  <si>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</si>
  <si>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</si>
  <si>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</si>
  <si>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</si>
  <si>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</si>
  <si>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</si>
  <si>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</si>
  <si>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</si>
  <si>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</si>
  <si>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</si>
  <si>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</si>
  <si>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</si>
  <si>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</si>
  <si>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</si>
  <si>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</si>
  <si>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</si>
  <si>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</si>
  <si>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</si>
  <si>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</si>
  <si>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</si>
  <si>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</si>
  <si>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</si>
  <si>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</si>
  <si>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</si>
  <si>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</si>
  <si>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</si>
  <si>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</si>
  <si>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</si>
  <si>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</si>
  <si>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</si>
  <si>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</si>
  <si>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</si>
  <si>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</si>
  <si>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</si>
  <si>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</si>
  <si>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</si>
  <si>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</si>
  <si>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</si>
  <si>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</si>
  <si>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</si>
  <si>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</si>
  <si>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</si>
  <si>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</si>
  <si>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</si>
  <si>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</si>
  <si>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</si>
  <si>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</si>
  <si>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</si>
  <si>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</si>
  <si>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</si>
  <si>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</si>
  <si>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</si>
  <si>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</si>
  <si>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</si>
  <si>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</si>
  <si>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</si>
  <si>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</si>
  <si>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</si>
  <si>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</si>
  <si>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</si>
  <si>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</si>
  <si>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</si>
  <si>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</si>
  <si>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</si>
  <si>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</si>
  <si>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</si>
  <si>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</si>
  <si>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</si>
  <si>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</si>
  <si>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</si>
  <si>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</si>
  <si>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</si>
  <si>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</si>
  <si>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</si>
  <si>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</si>
  <si>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</si>
  <si>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</si>
  <si>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</si>
  <si>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</si>
  <si>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</si>
  <si>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</si>
  <si>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</si>
  <si>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</si>
  <si>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</si>
  <si>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</si>
  <si>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</si>
  <si>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</si>
  <si>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</si>
  <si>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</si>
  <si>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</si>
  <si>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</si>
  <si>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</si>
  <si>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</si>
  <si>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</si>
  <si>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</si>
  <si>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</si>
  <si>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</si>
  <si>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</si>
  <si>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</si>
  <si>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</si>
  <si>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</si>
  <si>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</si>
  <si>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</si>
  <si>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</si>
  <si>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</si>
  <si>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</si>
  <si>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</si>
  <si>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</si>
  <si>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</si>
  <si>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</si>
  <si>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</si>
  <si>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</si>
  <si>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</si>
  <si>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</si>
  <si>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</si>
  <si>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</si>
  <si>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</si>
  <si>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</si>
  <si>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</si>
  <si>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</si>
  <si>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</si>
  <si>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</si>
  <si>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</si>
  <si>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</si>
  <si>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</si>
  <si>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</si>
  <si>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</si>
  <si>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</si>
  <si>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</si>
  <si>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</si>
  <si>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</si>
  <si>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</si>
  <si>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</si>
  <si>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</si>
  <si>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</si>
  <si>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</si>
  <si>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</si>
  <si>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</si>
  <si>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</si>
  <si>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</si>
  <si>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</si>
  <si>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</si>
  <si>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</si>
  <si>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</si>
  <si>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</si>
  <si>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</si>
  <si>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</si>
  <si>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</si>
  <si>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</si>
  <si>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</si>
  <si>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</si>
  <si>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</si>
  <si>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</si>
  <si>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</si>
  <si>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</si>
  <si>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</si>
  <si>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</si>
  <si>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</si>
  <si>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</si>
  <si>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</si>
  <si>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</si>
  <si>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</si>
  <si>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</si>
  <si>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</si>
  <si>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</si>
  <si>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</si>
  <si>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</si>
  <si>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</si>
  <si>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</si>
  <si>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</si>
  <si>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</si>
  <si>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</si>
  <si>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</si>
  <si>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</si>
  <si>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</si>
  <si>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</si>
  <si>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</si>
  <si>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</si>
  <si>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</si>
  <si>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</si>
  <si>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</si>
  <si>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</si>
  <si>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</si>
  <si>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</si>
  <si>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</si>
  <si>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</si>
  <si>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</si>
  <si>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</si>
  <si>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</si>
  <si>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</si>
  <si>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</si>
  <si>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</si>
  <si>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</si>
  <si>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</si>
  <si>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</si>
  <si>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</si>
  <si>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</si>
  <si>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</si>
  <si>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</si>
  <si>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</si>
  <si>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</si>
  <si>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</si>
  <si>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</si>
  <si>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</si>
  <si>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</si>
  <si>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</si>
  <si>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</si>
  <si>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</si>
  <si>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</si>
  <si>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</si>
  <si>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</si>
  <si>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</si>
  <si>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</si>
  <si>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</si>
  <si>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</si>
  <si>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</si>
  <si>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</si>
  <si>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</si>
  <si>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</si>
  <si>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</si>
  <si>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</si>
  <si>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</si>
  <si>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</si>
  <si>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</si>
  <si>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</si>
  <si>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</si>
  <si>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</si>
  <si>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</si>
  <si>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</si>
  <si>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</si>
  <si>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</si>
  <si>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</si>
  <si>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</si>
  <si>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</si>
  <si>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</si>
  <si>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</si>
  <si>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</si>
  <si>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</si>
  <si>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</si>
  <si>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</si>
  <si>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</si>
  <si>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</si>
  <si>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</si>
  <si>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</si>
  <si>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</si>
  <si>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</si>
  <si>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</si>
  <si>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</si>
  <si>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</si>
  <si>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</si>
  <si>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</si>
  <si>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</si>
  <si>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</si>
  <si>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</si>
  <si>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</si>
  <si>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</si>
  <si>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</si>
  <si>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</si>
  <si>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</si>
  <si>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</si>
  <si>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</si>
  <si>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</si>
  <si>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</si>
  <si>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</si>
  <si>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</si>
  <si>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</si>
  <si>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</si>
  <si>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</si>
  <si>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</si>
  <si>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</si>
  <si>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</si>
  <si>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</si>
  <si>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</si>
  <si>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</si>
  <si>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</si>
  <si>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</si>
  <si>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</si>
  <si>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</si>
  <si>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</si>
  <si>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</si>
  <si>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</si>
  <si>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</si>
  <si>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</si>
  <si>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</si>
  <si>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</si>
  <si>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</si>
  <si>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</si>
  <si>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</si>
  <si>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</si>
  <si>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</si>
  <si>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</si>
  <si>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</si>
  <si>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</si>
  <si>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</si>
  <si>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</si>
  <si>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</si>
  <si>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</si>
  <si>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</si>
  <si>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</si>
  <si>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</si>
  <si>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</si>
  <si>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</si>
  <si>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</si>
  <si>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</si>
  <si>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</si>
  <si>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</si>
  <si>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</si>
  <si>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</si>
  <si>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</si>
  <si>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</si>
  <si>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</si>
  <si>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</si>
  <si>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</si>
  <si>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</si>
  <si>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</si>
  <si>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</si>
  <si>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</si>
  <si>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</si>
  <si>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</si>
  <si>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</si>
  <si>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</si>
  <si>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</si>
  <si>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</si>
  <si>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</si>
  <si>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</si>
  <si>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</si>
  <si>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</si>
  <si>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</si>
  <si>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</si>
  <si>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</si>
  <si>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</si>
  <si>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</si>
  <si>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</si>
  <si>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</si>
  <si>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</si>
  <si>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</si>
  <si>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</si>
  <si>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</si>
  <si>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</si>
  <si>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</si>
  <si>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</si>
  <si>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</si>
  <si>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</si>
  <si>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</si>
  <si>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</si>
  <si>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</si>
  <si>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</si>
  <si>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</si>
  <si>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</si>
  <si>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</si>
  <si>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</si>
  <si>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</si>
  <si>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</si>
  <si>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</si>
  <si>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</si>
  <si>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</si>
  <si>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</si>
  <si>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</si>
  <si>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</si>
  <si>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</si>
  <si>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</si>
  <si>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</si>
  <si>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</si>
  <si>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</si>
  <si>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</si>
  <si>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</si>
  <si>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</si>
  <si>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</si>
  <si>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</si>
  <si>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</si>
  <si>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</si>
  <si>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</si>
  <si>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</si>
  <si>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</si>
  <si>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</si>
  <si>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</si>
  <si>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</si>
  <si>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</si>
  <si>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</si>
  <si>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</si>
  <si>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</si>
  <si>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</si>
  <si>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</si>
  <si>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</si>
  <si>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</si>
  <si>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</si>
  <si>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</si>
  <si>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</si>
  <si>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</si>
  <si>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</si>
  <si>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</si>
  <si>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</si>
  <si>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</si>
  <si>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</si>
  <si>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</si>
  <si>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</si>
  <si>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</si>
  <si>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</si>
  <si>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</si>
  <si>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</si>
  <si>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</si>
  <si>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</si>
  <si>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</si>
  <si>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</si>
  <si>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</si>
  <si>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</si>
  <si>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</si>
  <si>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</si>
  <si>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</si>
  <si>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</si>
  <si>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</si>
  <si>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</si>
  <si>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</si>
  <si>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</si>
  <si>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</si>
  <si>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</si>
  <si>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</si>
  <si>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</si>
  <si>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</si>
  <si>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</si>
  <si>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</si>
  <si>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</si>
  <si>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</si>
  <si>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</si>
  <si>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</si>
  <si>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</si>
  <si>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</si>
  <si>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</si>
  <si>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</si>
  <si>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</si>
  <si>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</si>
  <si>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</si>
  <si>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</si>
  <si>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</si>
  <si>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</si>
  <si>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</si>
  <si>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</si>
  <si>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</si>
  <si>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</si>
  <si>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</si>
  <si>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</si>
  <si>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</si>
  <si>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</si>
  <si>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</si>
  <si>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</si>
  <si>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</si>
  <si>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</si>
  <si>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</si>
  <si>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</si>
  <si>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</si>
  <si>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</si>
  <si>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</si>
  <si>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</si>
  <si>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</si>
  <si>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</si>
  <si>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</si>
  <si>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</si>
  <si>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</si>
  <si>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</si>
  <si>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</si>
  <si>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</si>
  <si>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</si>
  <si>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</si>
  <si>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</si>
  <si>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</si>
  <si>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</si>
  <si>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</si>
  <si>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</si>
  <si>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</si>
  <si>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</si>
  <si>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</si>
  <si>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</si>
  <si>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</si>
  <si>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</si>
  <si>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</si>
  <si>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</si>
  <si>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</si>
  <si>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</si>
  <si>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</si>
  <si>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</si>
  <si>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</si>
  <si>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</si>
  <si>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</si>
  <si>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</si>
  <si>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</si>
  <si>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</si>
  <si>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</si>
  <si>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</si>
  <si>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</si>
  <si>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</si>
  <si>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</si>
  <si>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</si>
  <si>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</si>
  <si>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</si>
  <si>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</si>
  <si>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</si>
  <si>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</si>
  <si>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</si>
  <si>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</si>
  <si>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</si>
  <si>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</si>
  <si>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</si>
  <si>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</si>
  <si>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</si>
  <si>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</si>
  <si>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</si>
  <si>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</si>
  <si>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</si>
  <si>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</si>
  <si>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</si>
  <si>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</si>
  <si>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</si>
  <si>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</si>
  <si>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</si>
  <si>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</si>
  <si>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</si>
  <si>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</si>
  <si>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</si>
  <si>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</si>
  <si>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</si>
  <si>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</si>
  <si>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</si>
  <si>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</si>
  <si>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</si>
  <si>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</si>
  <si>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</si>
  <si>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</si>
  <si>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</si>
  <si>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</si>
  <si>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</si>
  <si>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</si>
  <si>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</si>
  <si>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</si>
  <si>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</si>
  <si>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</si>
  <si>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</si>
  <si>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</si>
  <si>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</si>
  <si>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</si>
  <si>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</si>
  <si>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</si>
  <si>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</si>
  <si>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</si>
  <si>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</si>
  <si>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</si>
  <si>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</si>
  <si>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</si>
  <si>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</si>
  <si>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</si>
  <si>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</si>
  <si>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</si>
  <si>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</si>
  <si>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</si>
  <si>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</si>
  <si>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</si>
  <si>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</si>
  <si>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</si>
  <si>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</si>
  <si>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</si>
  <si>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</si>
  <si>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</si>
  <si>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</si>
  <si>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</si>
  <si>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</si>
  <si>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</si>
  <si>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</si>
  <si>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</si>
  <si>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</si>
  <si>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</si>
  <si>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</si>
  <si>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</si>
  <si>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</si>
  <si>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</si>
  <si>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</si>
  <si>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</si>
  <si>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</si>
  <si>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</si>
  <si>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</si>
  <si>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</si>
  <si>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</si>
  <si>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</si>
  <si>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</si>
  <si>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</si>
  <si>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</si>
  <si>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</si>
  <si>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</si>
  <si>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</si>
  <si>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</si>
  <si>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</si>
  <si>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</si>
  <si>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</si>
  <si>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</si>
  <si>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</si>
  <si>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</si>
  <si>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</si>
  <si>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</si>
  <si>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</si>
  <si>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</si>
  <si>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</si>
  <si>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</si>
  <si>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</si>
  <si>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</si>
  <si>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</si>
  <si>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</si>
  <si>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</si>
  <si>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</si>
  <si>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</si>
  <si>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</si>
  <si>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</si>
  <si>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</si>
  <si>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</si>
  <si>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</si>
  <si>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</si>
  <si>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</si>
  <si>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</si>
  <si>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</si>
  <si>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</si>
  <si>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</si>
  <si>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</si>
  <si>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</si>
  <si>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</si>
  <si>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</si>
  <si>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</si>
  <si>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</si>
  <si>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</si>
  <si>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</si>
  <si>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</si>
  <si>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</si>
  <si>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</si>
  <si>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</si>
  <si>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</si>
  <si>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</si>
  <si>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</si>
  <si>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</si>
  <si>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</si>
  <si>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</si>
  <si>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</si>
  <si>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</si>
  <si>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</si>
  <si>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</si>
  <si>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</si>
  <si>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</si>
  <si>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</si>
  <si>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</si>
  <si>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</si>
  <si>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</si>
  <si>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</si>
  <si>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</si>
  <si>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</si>
  <si>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</si>
  <si>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</si>
  <si>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</si>
  <si>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</si>
  <si>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</si>
  <si>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</si>
  <si>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</si>
  <si>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</si>
  <si>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</si>
  <si>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</si>
  <si>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</si>
  <si>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</si>
  <si>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</si>
  <si>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</si>
  <si>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</si>
  <si>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</si>
  <si>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</si>
  <si>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</si>
  <si>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</si>
  <si>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</si>
  <si>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</si>
  <si>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</si>
  <si>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</si>
  <si>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</si>
  <si>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</si>
  <si>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</si>
  <si>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</si>
  <si>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</si>
  <si>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</si>
  <si>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</si>
  <si>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</si>
  <si>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</si>
  <si>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</si>
  <si>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</si>
  <si>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</si>
  <si>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</si>
  <si>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</si>
  <si>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</si>
  <si>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</si>
  <si>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</si>
  <si>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</si>
  <si>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</si>
  <si>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</si>
  <si>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</si>
  <si>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</si>
  <si>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</si>
  <si>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</si>
  <si>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</si>
  <si>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</si>
  <si>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</si>
  <si>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</si>
  <si>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</si>
  <si>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</si>
  <si>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</si>
  <si>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</si>
  <si>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</si>
  <si>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</si>
  <si>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</si>
  <si>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</si>
  <si>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</si>
  <si>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</si>
  <si>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</si>
  <si>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</si>
  <si>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</si>
  <si>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</si>
  <si>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</si>
  <si>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</si>
  <si>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</si>
  <si>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</si>
  <si>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</si>
  <si>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</si>
  <si>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</si>
  <si>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</si>
  <si>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</si>
  <si>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</si>
  <si>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</si>
  <si>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</si>
  <si>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</si>
  <si>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</si>
  <si>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</si>
  <si>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</si>
  <si>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</si>
  <si>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</si>
  <si>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</si>
  <si>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</si>
  <si>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</si>
  <si>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</si>
  <si>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</si>
  <si>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</si>
  <si>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</si>
  <si>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</si>
  <si>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</si>
  <si>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</si>
  <si>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</si>
  <si>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</si>
  <si>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</si>
  <si>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</si>
  <si>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</si>
  <si>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</si>
  <si>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</si>
  <si>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</si>
  <si>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</si>
  <si>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</si>
  <si>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</si>
  <si>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</si>
  <si>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</si>
  <si>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</si>
  <si>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</si>
  <si>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</si>
  <si>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</si>
  <si>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</si>
  <si>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</si>
  <si>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</si>
  <si>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</si>
  <si>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</si>
  <si>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</si>
  <si>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</si>
  <si>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</si>
  <si>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</si>
  <si>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</si>
  <si>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</si>
  <si>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</si>
  <si>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</si>
  <si>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</si>
  <si>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</si>
  <si>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</si>
  <si>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</si>
  <si>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</si>
  <si>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</si>
  <si>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</si>
  <si>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</si>
  <si>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</si>
  <si>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</si>
  <si>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</si>
  <si>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</si>
  <si>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</si>
  <si>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</si>
  <si>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</si>
  <si>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</si>
  <si>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</si>
  <si>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</si>
  <si>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</si>
  <si>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</si>
  <si>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</si>
  <si>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</si>
  <si>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</si>
  <si>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</si>
  <si>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</si>
  <si>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</si>
  <si>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</si>
  <si>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</si>
  <si>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</si>
  <si>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</si>
  <si>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</si>
  <si>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</si>
  <si>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</si>
  <si>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</si>
  <si>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</si>
  <si>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</si>
  <si>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</si>
  <si>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</si>
  <si>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</si>
  <si>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</si>
  <si>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</si>
  <si>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</si>
  <si>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</si>
  <si>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</si>
  <si>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</si>
  <si>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</si>
  <si>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</si>
  <si>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</si>
  <si>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</si>
  <si>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</si>
  <si>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</si>
  <si>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</si>
  <si>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</si>
  <si>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</si>
  <si>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</si>
  <si>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</si>
  <si>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</si>
  <si>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</si>
  <si>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</si>
  <si>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</si>
  <si>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</si>
  <si>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</si>
  <si>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</si>
  <si>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</si>
  <si>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</si>
  <si>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</si>
  <si>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</si>
  <si>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</si>
  <si>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</si>
  <si>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</si>
  <si>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</si>
  <si>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</si>
  <si>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</si>
  <si>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</si>
  <si>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</si>
  <si>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</si>
  <si>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</si>
  <si>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</si>
  <si>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</si>
  <si>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</si>
  <si>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</si>
  <si>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</si>
  <si>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</si>
  <si>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</si>
  <si>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</si>
  <si>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</si>
  <si>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</si>
  <si>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</si>
  <si>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</si>
  <si>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</si>
  <si>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</si>
  <si>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</si>
  <si>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</si>
  <si>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</si>
  <si>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</si>
  <si>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</si>
  <si>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</si>
  <si>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</si>
  <si>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</si>
  <si>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</si>
  <si>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</si>
  <si>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</si>
  <si>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</si>
  <si>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</si>
  <si>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</si>
  <si>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</si>
  <si>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</si>
  <si>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</si>
  <si>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</si>
  <si>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</si>
  <si>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</si>
  <si>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</si>
  <si>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</si>
  <si>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</si>
  <si>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</si>
  <si>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</si>
  <si>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</si>
  <si>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</si>
  <si>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</si>
  <si>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</si>
  <si>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</si>
  <si>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</si>
  <si>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</si>
  <si>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</si>
  <si>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</si>
  <si>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</si>
  <si>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</si>
  <si>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</si>
  <si>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</si>
  <si>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</si>
  <si>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</si>
  <si>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</si>
  <si>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</si>
  <si>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</si>
  <si>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</si>
  <si>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</si>
  <si>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</si>
  <si>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</si>
  <si>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</si>
  <si>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</si>
  <si>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</si>
  <si>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</si>
  <si>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</si>
  <si>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</si>
  <si>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</si>
  <si>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</si>
  <si>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</si>
  <si>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</si>
  <si>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</si>
  <si>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</si>
  <si>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</si>
  <si>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</si>
  <si>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</si>
  <si>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</si>
  <si>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</si>
  <si>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</si>
  <si>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</si>
  <si>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</si>
  <si>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</si>
  <si>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</si>
  <si>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</si>
  <si>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</si>
  <si>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</si>
  <si>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</si>
  <si>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</si>
  <si>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</si>
  <si>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</si>
  <si>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</si>
  <si>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</si>
  <si>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</si>
  <si>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</si>
  <si>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</si>
  <si>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</si>
  <si>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</si>
  <si>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</si>
  <si>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</si>
  <si>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</si>
  <si>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</si>
  <si>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</si>
  <si>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</si>
  <si>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</si>
  <si>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</si>
  <si>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</si>
  <si>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</si>
  <si>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</si>
  <si>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</si>
  <si>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</si>
  <si>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</si>
  <si>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</si>
  <si>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</si>
  <si>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</si>
  <si>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</si>
  <si>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</si>
  <si>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</si>
  <si>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</si>
  <si>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</si>
  <si>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</si>
  <si>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</si>
  <si>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</si>
  <si>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</si>
  <si>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</si>
  <si>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</si>
  <si>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</si>
  <si>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</si>
  <si>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</si>
  <si>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</si>
  <si>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</si>
  <si>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</si>
  <si>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</si>
  <si>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</si>
  <si>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</si>
  <si>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</si>
  <si>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</si>
  <si>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</si>
  <si>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</si>
  <si>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</si>
  <si>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</si>
  <si>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</si>
  <si>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</si>
  <si>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</si>
  <si>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</si>
  <si>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</si>
  <si>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</si>
  <si>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</si>
  <si>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</si>
  <si>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</si>
  <si>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</si>
  <si>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</si>
  <si>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</si>
  <si>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</si>
  <si>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</si>
  <si>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</si>
  <si>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</si>
  <si>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</si>
  <si>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</si>
  <si>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</si>
  <si>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</si>
  <si>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</si>
  <si>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</si>
  <si>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</si>
  <si>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</si>
  <si>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</si>
  <si>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</si>
  <si>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</si>
  <si>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</si>
  <si>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</si>
  <si>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</si>
  <si>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</si>
  <si>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</si>
  <si>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</si>
  <si>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</si>
  <si>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</si>
  <si>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</si>
  <si>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</si>
  <si>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</si>
  <si>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</si>
  <si>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</si>
  <si>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</si>
  <si>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</si>
  <si>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</si>
  <si>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</si>
  <si>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</si>
  <si>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</si>
  <si>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</si>
  <si>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</si>
  <si>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</si>
  <si>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</si>
  <si>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</si>
  <si>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</si>
  <si>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</si>
  <si>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</si>
  <si>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</si>
  <si>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</si>
  <si>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</si>
  <si>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</si>
  <si>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</si>
  <si>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</si>
  <si>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</si>
  <si>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</si>
  <si>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</si>
  <si>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</si>
  <si>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</si>
  <si>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</si>
  <si>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</si>
  <si>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</si>
  <si>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</si>
  <si>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</si>
  <si>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</si>
  <si>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</si>
  <si>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</si>
  <si>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</si>
  <si>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</si>
  <si>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</si>
  <si>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</si>
  <si>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</si>
  <si>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</si>
  <si>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</si>
  <si>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</si>
  <si>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</si>
  <si>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</si>
  <si>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</si>
  <si>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</si>
  <si>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</si>
  <si>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</si>
  <si>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</si>
  <si>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</si>
  <si>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</si>
  <si>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</si>
  <si>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</si>
  <si>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</si>
  <si>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</si>
  <si>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</si>
  <si>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</si>
  <si>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</si>
  <si>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</si>
  <si>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</si>
  <si>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</si>
  <si>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</si>
  <si>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</si>
  <si>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</si>
  <si>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</si>
  <si>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</si>
  <si>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</si>
  <si>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</si>
  <si>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</si>
  <si>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</si>
  <si>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</si>
  <si>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</si>
  <si>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</si>
  <si>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</si>
  <si>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</si>
  <si>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</si>
  <si>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</si>
  <si>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</si>
  <si>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</si>
  <si>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</si>
  <si>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</si>
  <si>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</si>
  <si>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</si>
  <si>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</si>
  <si>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</si>
  <si>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</si>
  <si>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</si>
  <si>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</si>
  <si>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</si>
  <si>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</si>
  <si>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</si>
  <si>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</si>
  <si>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</si>
  <si>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</si>
  <si>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</si>
  <si>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</si>
  <si>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</si>
  <si>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</si>
  <si>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</si>
  <si>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</si>
  <si>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</si>
  <si>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</si>
  <si>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</si>
  <si>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</si>
  <si>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</si>
  <si>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</si>
  <si>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</si>
  <si>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</si>
  <si>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</si>
  <si>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</si>
  <si>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</si>
  <si>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</si>
  <si>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</si>
  <si>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</si>
  <si>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</si>
  <si>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</si>
  <si>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</si>
  <si>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</si>
  <si>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</si>
  <si>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</si>
  <si>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</si>
  <si>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</si>
  <si>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</si>
  <si>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</si>
  <si>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</si>
  <si>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</si>
  <si>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</si>
  <si>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</si>
  <si>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</si>
  <si>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</si>
  <si>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</si>
  <si>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</si>
  <si>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</si>
  <si>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</si>
  <si>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</si>
  <si>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</si>
  <si>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</si>
  <si>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</si>
  <si>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</si>
  <si>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</si>
  <si>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</si>
  <si>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</si>
  <si>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</si>
  <si>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</si>
  <si>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</si>
  <si>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</si>
  <si>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</si>
  <si>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</si>
  <si>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</si>
  <si>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</si>
  <si>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</si>
  <si>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</si>
  <si>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</si>
  <si>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</si>
  <si>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</si>
  <si>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</si>
  <si>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</si>
  <si>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</si>
  <si>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</si>
  <si>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</si>
  <si>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</si>
  <si>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</si>
  <si>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</si>
  <si>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</si>
  <si>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</si>
  <si>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</si>
  <si>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</si>
  <si>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</si>
  <si>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</si>
  <si>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</si>
  <si>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</si>
  <si>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</si>
  <si>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</si>
  <si>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</si>
  <si>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</si>
  <si>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</si>
  <si>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</si>
  <si>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</si>
  <si>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</si>
  <si>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</si>
  <si>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</si>
  <si>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</si>
  <si>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</si>
  <si>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</si>
  <si>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</si>
  <si>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</si>
  <si>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</si>
  <si>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</si>
  <si>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</si>
  <si>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</si>
  <si>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</si>
  <si>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</si>
  <si>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</si>
  <si>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</si>
  <si>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</si>
  <si>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</si>
  <si>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</si>
  <si>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</si>
  <si>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</si>
  <si>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</si>
  <si>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</si>
  <si>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</si>
  <si>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</si>
  <si>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</si>
  <si>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</si>
  <si>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</si>
  <si>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</si>
  <si>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</si>
  <si>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</si>
  <si>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</si>
  <si>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</si>
  <si>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</si>
  <si>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</si>
  <si>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</si>
  <si>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</si>
  <si>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</si>
  <si>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</si>
  <si>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</si>
  <si>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</si>
  <si>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</si>
  <si>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</si>
  <si>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</si>
  <si>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</si>
  <si>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</si>
  <si>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</si>
  <si>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</si>
  <si>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</si>
  <si>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</si>
  <si>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</si>
  <si>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</si>
  <si>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</si>
  <si>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</si>
  <si>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</si>
  <si>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</si>
  <si>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</si>
  <si>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</si>
  <si>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</si>
  <si>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</si>
  <si>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</si>
  <si>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</si>
  <si>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</si>
  <si>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</si>
  <si>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</si>
  <si>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</si>
  <si>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</si>
  <si>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</si>
  <si>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</si>
  <si>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</si>
  <si>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</si>
  <si>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</si>
  <si>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</si>
  <si>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</si>
  <si>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</si>
  <si>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</si>
  <si>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</si>
  <si>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</si>
  <si>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</si>
  <si>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</si>
  <si>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</si>
  <si>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</si>
  <si>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</si>
  <si>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</si>
  <si>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</si>
  <si>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</si>
  <si>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</si>
  <si>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</si>
  <si>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</si>
  <si>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</si>
  <si>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</si>
  <si>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</si>
  <si>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</si>
  <si>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</si>
  <si>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</si>
  <si>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</si>
  <si>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</si>
  <si>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</si>
  <si>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</si>
  <si>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</si>
  <si>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</si>
  <si>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</si>
  <si>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</si>
  <si>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</si>
  <si>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</si>
  <si>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</si>
  <si>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</si>
  <si>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</si>
  <si>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</si>
  <si>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</si>
  <si>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</si>
  <si>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</si>
  <si>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</si>
  <si>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</si>
  <si>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</si>
  <si>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</si>
  <si>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</si>
  <si>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</si>
  <si>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</si>
  <si>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</si>
  <si>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</si>
  <si>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</si>
  <si>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</si>
  <si>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</si>
  <si>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</si>
  <si>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</si>
  <si>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</si>
  <si>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</si>
  <si>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</si>
  <si>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</si>
  <si>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</si>
  <si>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</si>
  <si>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</si>
  <si>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</si>
  <si>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</si>
  <si>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</si>
  <si>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</si>
  <si>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</si>
  <si>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</si>
  <si>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</si>
  <si>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</si>
  <si>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</si>
  <si>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</si>
  <si>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</si>
  <si>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</si>
  <si>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</si>
  <si>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</si>
  <si>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</si>
  <si>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</si>
  <si>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</si>
  <si>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</si>
  <si>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</si>
  <si>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</si>
  <si>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</si>
  <si>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</si>
  <si>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</si>
  <si>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</si>
  <si>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</si>
  <si>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</si>
  <si>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</si>
  <si>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</si>
  <si>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</si>
  <si>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</si>
  <si>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</si>
  <si>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</si>
  <si>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</si>
  <si>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</si>
  <si>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</si>
  <si>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</si>
  <si>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</si>
  <si>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</si>
  <si>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</si>
  <si>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</si>
  <si>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</si>
  <si>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</si>
  <si>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</si>
  <si>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</si>
  <si>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</si>
  <si>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</si>
  <si>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</si>
  <si>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</si>
  <si>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</si>
  <si>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</si>
  <si>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</si>
  <si>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</si>
  <si>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</si>
  <si>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</si>
  <si>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</si>
  <si>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</si>
  <si>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</si>
  <si>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</si>
  <si>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</si>
  <si>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</si>
  <si>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</si>
  <si>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</si>
  <si>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</si>
  <si>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</si>
  <si>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</si>
  <si>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</si>
  <si>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</si>
  <si>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</si>
  <si>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</si>
  <si>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</si>
  <si>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</si>
  <si>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</si>
  <si>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</si>
  <si>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</si>
  <si>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</si>
  <si>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</si>
  <si>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</si>
  <si>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</si>
  <si>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</si>
  <si>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</si>
  <si>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</si>
  <si>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</si>
  <si>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</si>
  <si>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</si>
  <si>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</si>
  <si>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</si>
  <si>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</si>
  <si>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</si>
  <si>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</si>
  <si>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</si>
  <si>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</si>
  <si>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</si>
  <si>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</si>
  <si>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</si>
  <si>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</si>
  <si>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</si>
  <si>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</si>
  <si>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</si>
  <si>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</si>
  <si>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</si>
  <si>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</si>
  <si>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</si>
  <si>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</si>
  <si>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</si>
  <si>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</si>
  <si>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</si>
  <si>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</si>
  <si>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</si>
  <si>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</si>
  <si>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</si>
  <si>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</si>
  <si>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</si>
  <si>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</si>
  <si>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</si>
  <si>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</si>
  <si>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</si>
  <si>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</si>
  <si>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</si>
  <si>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</si>
  <si>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</si>
  <si>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</si>
  <si>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</si>
  <si>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</si>
  <si>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</si>
  <si>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</si>
  <si>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</si>
  <si>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</si>
  <si>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</si>
  <si>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</si>
  <si>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</si>
  <si>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</si>
  <si>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</si>
  <si>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</si>
  <si>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</si>
  <si>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</si>
  <si>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</si>
  <si>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</si>
  <si>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</si>
  <si>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</si>
  <si>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</si>
  <si>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</si>
  <si>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</si>
  <si>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</si>
  <si>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</si>
  <si>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</si>
  <si>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</si>
  <si>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</si>
  <si>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</si>
  <si>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</si>
  <si>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</si>
  <si>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</si>
  <si>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</si>
  <si>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</si>
  <si>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</si>
  <si>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</si>
  <si>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</si>
  <si>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</si>
  <si>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</si>
  <si>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</si>
  <si>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</si>
  <si>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</si>
  <si>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</si>
  <si>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</si>
  <si>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</si>
  <si>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</si>
  <si>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</si>
  <si>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</si>
  <si>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</si>
  <si>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</si>
  <si>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</si>
  <si>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</si>
  <si>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</si>
  <si>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</si>
  <si>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</si>
  <si>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</si>
  <si>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</si>
  <si>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</si>
  <si>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</si>
  <si>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</si>
  <si>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</si>
  <si>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</si>
  <si>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</si>
  <si>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</si>
  <si>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</si>
  <si>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</si>
  <si>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</si>
  <si>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</si>
  <si>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</si>
  <si>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</si>
  <si>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</si>
  <si>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</si>
  <si>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</si>
  <si>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</si>
  <si>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</si>
  <si>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</si>
  <si>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</si>
  <si>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</si>
  <si>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</si>
  <si>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</si>
  <si>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</si>
  <si>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</si>
  <si>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</si>
  <si>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</si>
  <si>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</si>
  <si>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</si>
  <si>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</si>
  <si>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</si>
  <si>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</si>
  <si>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</si>
  <si>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</si>
  <si>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</si>
  <si>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</si>
  <si>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</si>
  <si>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</si>
  <si>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</si>
  <si>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</si>
  <si>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</si>
  <si>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</si>
  <si>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</si>
  <si>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</si>
  <si>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</si>
  <si>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</si>
  <si>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</si>
  <si>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</si>
  <si>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</si>
  <si>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</si>
  <si>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</si>
  <si>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</si>
  <si>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</si>
  <si>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</si>
  <si>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</si>
  <si>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</si>
  <si>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</si>
  <si>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</si>
  <si>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</si>
  <si>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</si>
  <si>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</si>
  <si>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</si>
  <si>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</si>
  <si>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</si>
  <si>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</si>
  <si>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</si>
  <si>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</si>
  <si>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</si>
  <si>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</si>
  <si>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</si>
  <si>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</si>
  <si>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</si>
  <si>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</si>
  <si>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</si>
  <si>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</si>
  <si>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</si>
  <si>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</si>
  <si>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</si>
  <si>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</si>
  <si>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</si>
  <si>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</si>
  <si>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</si>
  <si>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</si>
  <si>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</si>
  <si>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</si>
  <si>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</si>
  <si>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</si>
  <si>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</si>
  <si>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</si>
  <si>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</si>
  <si>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</si>
  <si>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</si>
  <si>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</si>
  <si>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</si>
  <si>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</si>
  <si>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</si>
  <si>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</si>
  <si>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</si>
  <si>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</si>
  <si>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</si>
  <si>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</si>
  <si>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</si>
  <si>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</si>
  <si>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</si>
  <si>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</si>
  <si>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</si>
  <si>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</si>
  <si>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</si>
  <si>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</si>
  <si>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</si>
  <si>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</si>
  <si>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</si>
  <si>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</si>
  <si>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</si>
  <si>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</si>
  <si>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</si>
  <si>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</si>
  <si>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</si>
  <si>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</si>
  <si>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</si>
  <si>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</si>
  <si>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</si>
  <si>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</si>
  <si>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</si>
  <si>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</si>
  <si>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</si>
  <si>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</si>
  <si>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</si>
  <si>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</si>
  <si>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</si>
  <si>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</si>
  <si>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</si>
  <si>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</si>
  <si>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</si>
  <si>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</si>
  <si>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</si>
  <si>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</si>
  <si>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</si>
  <si>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</si>
  <si>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</si>
  <si>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</si>
  <si>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</si>
  <si>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</si>
  <si>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</si>
  <si>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</si>
  <si>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</si>
  <si>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</si>
  <si>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</si>
  <si>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</si>
  <si>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</si>
  <si>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</si>
  <si>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</si>
  <si>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</si>
  <si>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</si>
  <si>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</si>
  <si>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</si>
  <si>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</si>
  <si>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</si>
  <si>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</si>
  <si>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</si>
  <si>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</si>
  <si>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</si>
  <si>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</si>
  <si>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</si>
  <si>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</si>
  <si>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</si>
  <si>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</si>
  <si>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</si>
  <si>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</si>
  <si>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</si>
  <si>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</si>
  <si>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</si>
  <si>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</si>
  <si>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</si>
  <si>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</si>
  <si>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</si>
  <si>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</si>
  <si>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</si>
  <si>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</si>
  <si>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</si>
  <si>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</si>
  <si>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</si>
  <si>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</si>
  <si>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</si>
  <si>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</si>
  <si>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</si>
  <si>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</si>
  <si>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</si>
  <si>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</si>
  <si>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</si>
  <si>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</si>
  <si>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</si>
  <si>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</si>
  <si>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</si>
  <si>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</si>
  <si>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</si>
  <si>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</si>
  <si>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</si>
  <si>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</si>
  <si>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</si>
  <si>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</si>
  <si>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</si>
  <si>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</si>
  <si>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</si>
  <si>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</si>
  <si>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</si>
  <si>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</si>
  <si>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</si>
  <si>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</si>
  <si>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</si>
  <si>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</si>
  <si>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</si>
  <si>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</si>
  <si>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</si>
  <si>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</si>
  <si>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</si>
  <si>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</si>
  <si>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</si>
  <si>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</si>
  <si>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</si>
  <si>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</si>
  <si>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</si>
  <si>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</si>
  <si>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</si>
  <si>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</si>
  <si>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</si>
  <si>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</si>
  <si>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</si>
  <si>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</si>
  <si>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</si>
  <si>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</si>
  <si>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</si>
  <si>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</si>
  <si>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</si>
  <si>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</si>
  <si>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</si>
  <si>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</si>
  <si>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</si>
  <si>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</si>
  <si>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</si>
  <si>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</si>
  <si>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</si>
  <si>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</si>
  <si>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</si>
  <si>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</si>
  <si>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</si>
  <si>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</si>
  <si>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</si>
  <si>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</si>
  <si>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</si>
  <si>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</si>
  <si>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</si>
  <si>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</si>
  <si>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</si>
  <si>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</si>
  <si>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</si>
  <si>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</si>
  <si>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</si>
  <si>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</si>
  <si>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</si>
  <si>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</si>
  <si>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</si>
  <si>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</si>
  <si>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</si>
  <si>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</si>
  <si>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</si>
  <si>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</si>
  <si>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</si>
  <si>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</si>
  <si>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</si>
  <si>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</si>
  <si>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</si>
  <si>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</si>
  <si>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</si>
  <si>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</si>
  <si>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</si>
  <si>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</si>
  <si>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</si>
  <si>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</si>
  <si>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</si>
  <si>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</si>
  <si>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</si>
  <si>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</si>
  <si>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</si>
  <si>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</si>
  <si>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</si>
  <si>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</si>
  <si>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</si>
  <si>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</si>
  <si>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</si>
  <si>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</si>
  <si>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</si>
  <si>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</si>
  <si>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</si>
  <si>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</si>
  <si>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</si>
  <si>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</si>
  <si>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</si>
  <si>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</si>
  <si>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</si>
  <si>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</si>
  <si>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</si>
  <si>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</si>
  <si>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</si>
  <si>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</si>
  <si>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</si>
  <si>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</si>
  <si>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</si>
  <si>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</si>
  <si>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</si>
  <si>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</si>
  <si>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</si>
  <si>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</si>
  <si>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</si>
  <si>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</si>
  <si>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</si>
  <si>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</si>
  <si>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</si>
  <si>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</si>
  <si>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</si>
  <si>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</si>
  <si>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</si>
  <si>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</si>
  <si>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</si>
  <si>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</si>
  <si>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</si>
  <si>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</si>
  <si>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</si>
  <si>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</si>
  <si>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</si>
  <si>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</si>
  <si>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</si>
  <si>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</si>
  <si>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</si>
  <si>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</si>
  <si>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</si>
  <si>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</si>
  <si>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</si>
  <si>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</si>
  <si>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</si>
  <si>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</si>
  <si>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</si>
  <si>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</si>
  <si>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</si>
  <si>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</si>
  <si>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</si>
  <si>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</si>
  <si>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</si>
  <si>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</si>
  <si>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</si>
  <si>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</si>
  <si>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</si>
  <si>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</si>
  <si>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</si>
  <si>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</si>
  <si>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</si>
  <si>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</si>
  <si>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</si>
  <si>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</si>
  <si>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</si>
  <si>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</si>
  <si>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</si>
  <si>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</si>
  <si>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</si>
  <si>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</si>
  <si>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</si>
  <si>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</si>
  <si>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</si>
  <si>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</si>
  <si>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</si>
  <si>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</si>
  <si>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</si>
  <si>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</si>
  <si>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</si>
  <si>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</si>
  <si>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</si>
  <si>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</si>
  <si>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</si>
  <si>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</si>
  <si>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</si>
  <si>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</si>
  <si>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</si>
  <si>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</si>
  <si>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</si>
  <si>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</si>
  <si>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</si>
  <si>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</si>
  <si>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</si>
  <si>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</si>
  <si>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</si>
  <si>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</si>
  <si>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</si>
  <si>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</si>
  <si>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</si>
  <si>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</si>
  <si>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</si>
  <si>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</si>
  <si>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</si>
  <si>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</si>
  <si>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</si>
  <si>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</si>
  <si>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</si>
  <si>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</si>
  <si>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</si>
  <si>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</si>
  <si>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</si>
  <si>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</si>
  <si>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</si>
  <si>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</si>
  <si>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</si>
  <si>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</si>
  <si>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</si>
  <si>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</si>
  <si>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</si>
  <si>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</si>
  <si>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</si>
  <si>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</si>
  <si>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</si>
  <si>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</si>
  <si>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</si>
  <si>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</si>
  <si>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</si>
  <si>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</si>
  <si>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</si>
  <si>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</si>
  <si>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</si>
  <si>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</si>
  <si>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</si>
  <si>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</si>
  <si>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</si>
  <si>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</si>
  <si>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</si>
  <si>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</si>
  <si>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</si>
  <si>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</si>
  <si>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</si>
  <si>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</si>
  <si>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</si>
  <si>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</si>
  <si>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</si>
  <si>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</si>
  <si>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</si>
  <si>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</si>
  <si>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</si>
  <si>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</si>
  <si>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</si>
  <si>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</si>
  <si>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</si>
  <si>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</si>
  <si>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</si>
  <si>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</si>
  <si>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</si>
  <si>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</si>
  <si>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</si>
  <si>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</si>
  <si>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</si>
  <si>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</si>
  <si>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</si>
  <si>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</si>
  <si>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</si>
  <si>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</si>
  <si>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</si>
  <si>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</si>
  <si>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</si>
  <si>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</si>
  <si>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</si>
  <si>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</si>
  <si>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</si>
  <si>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</si>
  <si>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</si>
  <si>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</si>
  <si>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</si>
  <si>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</si>
  <si>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</si>
  <si>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</si>
  <si>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</si>
  <si>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</si>
  <si>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</si>
  <si>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</si>
  <si>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</si>
  <si>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</si>
  <si>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</si>
  <si>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</si>
  <si>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</si>
  <si>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</si>
  <si>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</si>
  <si>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</si>
  <si>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</si>
  <si>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</si>
  <si>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</si>
  <si>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</si>
  <si>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</si>
  <si>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</si>
  <si>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</si>
  <si>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</si>
  <si>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</si>
  <si>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</si>
  <si>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</si>
  <si>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</si>
  <si>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</si>
  <si>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</si>
  <si>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</si>
  <si>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</si>
  <si>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</si>
  <si>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</si>
  <si>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</si>
  <si>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</si>
  <si>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</si>
  <si>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</si>
  <si>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</si>
  <si>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</si>
  <si>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</si>
  <si>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</si>
  <si>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</si>
  <si>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</si>
  <si>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</si>
  <si>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</si>
  <si>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</si>
  <si>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</si>
  <si>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</si>
  <si>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</si>
  <si>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</si>
  <si>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</si>
  <si>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</si>
  <si>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</si>
  <si>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</si>
  <si>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</si>
  <si>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</si>
  <si>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</si>
  <si>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</si>
  <si>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</si>
  <si>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</si>
  <si>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</si>
  <si>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</si>
  <si>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</si>
  <si>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</si>
  <si>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</si>
  <si>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</si>
  <si>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</si>
  <si>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</si>
  <si>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</si>
  <si>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</si>
  <si>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</si>
  <si>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</si>
  <si>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</si>
  <si>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</si>
  <si>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</si>
  <si>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</si>
  <si>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</si>
  <si>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</si>
  <si>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</si>
  <si>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</si>
  <si>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</si>
  <si>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</si>
  <si>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</si>
  <si>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</si>
  <si>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</si>
  <si>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</si>
  <si>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</si>
  <si>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</si>
  <si>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</si>
  <si>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</si>
  <si>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</si>
  <si>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</si>
  <si>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</si>
  <si>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</si>
  <si>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</si>
  <si>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</si>
  <si>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</si>
  <si>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</si>
  <si>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</si>
  <si>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</si>
  <si>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</si>
  <si>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</si>
  <si>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</si>
  <si>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</si>
  <si>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</si>
  <si>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</si>
  <si>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</si>
  <si>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</si>
  <si>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</si>
  <si>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</si>
  <si>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</si>
  <si>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</si>
  <si>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</si>
  <si>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</si>
  <si>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</si>
  <si>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</si>
  <si>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</si>
  <si>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</si>
  <si>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</si>
  <si>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</si>
  <si>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</si>
  <si>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</si>
  <si>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</si>
  <si>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</si>
  <si>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</si>
  <si>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</si>
  <si>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</si>
  <si>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</si>
  <si>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</si>
  <si>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</si>
  <si>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</si>
  <si>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</si>
  <si>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</si>
  <si>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</si>
  <si>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</si>
  <si>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</si>
  <si>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</si>
  <si>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</si>
  <si>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</si>
  <si>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</si>
  <si>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</si>
  <si>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</si>
  <si>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</si>
  <si>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</si>
  <si>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</si>
  <si>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</si>
  <si>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</si>
  <si>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</si>
  <si>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</si>
  <si>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</si>
  <si>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</si>
  <si>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</si>
  <si>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</si>
  <si>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</si>
  <si>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</si>
  <si>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</si>
  <si>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</si>
  <si>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</si>
  <si>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</si>
  <si>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</si>
  <si>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</si>
  <si>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</si>
  <si>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</si>
  <si>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</si>
  <si>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</si>
  <si>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</si>
  <si>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</si>
  <si>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</si>
  <si>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</si>
  <si>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</si>
  <si>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</si>
  <si>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</si>
  <si>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</si>
  <si>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</si>
  <si>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</si>
  <si>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</si>
  <si>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</si>
  <si>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</si>
  <si>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</si>
  <si>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</si>
  <si>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</si>
  <si>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</si>
  <si>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</si>
  <si>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</si>
  <si>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</si>
  <si>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</si>
  <si>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</si>
  <si>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</si>
  <si>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</si>
  <si>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</si>
  <si>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</si>
  <si>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</si>
  <si>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</si>
  <si>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</si>
  <si>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</si>
  <si>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</si>
  <si>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</si>
  <si>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</si>
  <si>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</si>
  <si>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</si>
  <si>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</si>
  <si>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</si>
  <si>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</si>
  <si>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</si>
  <si>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</si>
  <si>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</si>
  <si>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</si>
  <si>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</si>
  <si>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</si>
  <si>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</si>
  <si>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</si>
  <si>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</si>
  <si>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</si>
  <si>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</si>
  <si>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</si>
  <si>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</si>
  <si>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</si>
  <si>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</si>
  <si>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</si>
  <si>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</si>
  <si>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</si>
  <si>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</si>
  <si>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</si>
  <si>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</si>
  <si>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</si>
  <si>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</si>
  <si>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</si>
  <si>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</si>
  <si>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</si>
  <si>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</si>
  <si>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</si>
  <si>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</si>
  <si>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</si>
  <si>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</si>
  <si>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</si>
  <si>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</si>
  <si>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</si>
  <si>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</si>
  <si>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</si>
  <si>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</si>
  <si>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</si>
  <si>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</si>
  <si>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</si>
  <si>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</si>
  <si>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</si>
  <si>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</si>
  <si>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</si>
  <si>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</si>
  <si>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</si>
  <si>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</si>
  <si>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</si>
  <si>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</si>
  <si>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</si>
  <si>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</si>
  <si>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</si>
  <si>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</si>
  <si>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</si>
  <si>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</si>
  <si>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</si>
  <si>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</si>
  <si>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</si>
  <si>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</si>
  <si>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</si>
  <si>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</si>
  <si>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</si>
  <si>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</si>
  <si>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</si>
  <si>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</si>
  <si>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</si>
  <si>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</si>
  <si>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</si>
  <si>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</si>
  <si>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</si>
  <si>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</si>
  <si>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</si>
  <si>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</si>
  <si>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</si>
  <si>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</si>
  <si>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</si>
  <si>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</si>
  <si>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</si>
  <si>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</si>
  <si>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</si>
  <si>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</si>
  <si>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</si>
  <si>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</si>
  <si>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</si>
  <si>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</si>
  <si>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</si>
  <si>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</si>
  <si>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</si>
  <si>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</si>
  <si>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</si>
  <si>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</si>
  <si>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</si>
  <si>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</si>
  <si>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</si>
  <si>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</si>
  <si>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</si>
  <si>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</si>
  <si>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</si>
  <si>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</si>
  <si>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</si>
  <si>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</si>
  <si>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</si>
  <si>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</si>
  <si>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</si>
  <si>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</si>
  <si>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</si>
  <si>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</si>
  <si>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</si>
  <si>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</si>
  <si>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</si>
  <si>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</si>
  <si>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</si>
  <si>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</si>
  <si>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</si>
  <si>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</si>
  <si>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</si>
  <si>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</si>
  <si>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</si>
  <si>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</si>
  <si>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</si>
  <si>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</si>
  <si>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</si>
  <si>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</si>
  <si>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</si>
  <si>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</si>
  <si>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</si>
  <si>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</si>
  <si>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</si>
  <si>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</si>
  <si>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</si>
  <si>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</si>
  <si>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</si>
  <si>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</si>
  <si>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</si>
  <si>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</si>
  <si>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</si>
  <si>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</si>
  <si>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</si>
  <si>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</si>
  <si>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</si>
  <si>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</si>
  <si>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</si>
  <si>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</si>
  <si>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</si>
  <si>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</si>
  <si>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</si>
  <si>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</si>
  <si>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</si>
  <si>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</si>
  <si>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</si>
  <si>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</si>
  <si>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</si>
  <si>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</si>
  <si>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</si>
  <si>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</si>
  <si>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</si>
  <si>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</si>
  <si>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</si>
  <si>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</si>
  <si>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</si>
  <si>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</si>
  <si>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</si>
  <si>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</si>
  <si>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</si>
  <si>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</si>
  <si>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</si>
  <si>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</si>
  <si>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</si>
  <si>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</si>
  <si>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</si>
  <si>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</si>
  <si>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</si>
  <si>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</si>
  <si>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</si>
  <si>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</si>
  <si>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</si>
  <si>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</si>
  <si>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</si>
  <si>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</si>
  <si>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</si>
  <si>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</si>
  <si>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</si>
  <si>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</si>
  <si>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</si>
  <si>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</si>
  <si>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</si>
  <si>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</si>
  <si>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</si>
  <si>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</si>
  <si>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</si>
  <si>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</si>
  <si>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</si>
  <si>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</si>
  <si>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</si>
  <si>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</si>
  <si>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</si>
  <si>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</si>
  <si>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</si>
  <si>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</si>
  <si>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</si>
  <si>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</si>
  <si>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</si>
  <si>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</si>
  <si>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</si>
  <si>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</si>
  <si>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</si>
  <si>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</si>
  <si>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</si>
  <si>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</si>
  <si>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</si>
  <si>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</si>
  <si>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</si>
  <si>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</si>
  <si>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</si>
  <si>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</si>
  <si>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</si>
  <si>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</si>
  <si>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</si>
  <si>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</si>
  <si>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</si>
  <si>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</si>
  <si>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</si>
  <si>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</si>
  <si>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</si>
  <si>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</si>
  <si>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</si>
  <si>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</si>
  <si>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</si>
  <si>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</si>
  <si>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</si>
  <si>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</si>
  <si>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</si>
  <si>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</si>
  <si>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</si>
  <si>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</si>
  <si>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</si>
  <si>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</si>
  <si>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</si>
  <si>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</si>
  <si>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</si>
  <si>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</si>
  <si>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</si>
  <si>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</si>
  <si>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</si>
  <si>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</si>
  <si>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</si>
  <si>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</si>
  <si>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</si>
  <si>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</si>
  <si>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</si>
  <si>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</si>
  <si>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</si>
  <si>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</si>
  <si>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</si>
  <si>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</si>
  <si>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</si>
  <si>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</si>
  <si>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</si>
  <si>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</si>
  <si>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</si>
  <si>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</si>
  <si>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</si>
  <si>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</si>
  <si>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</si>
  <si>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</si>
  <si>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</si>
  <si>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</si>
  <si>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</si>
  <si>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</si>
  <si>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</si>
  <si>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</si>
  <si>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</si>
  <si>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</si>
  <si>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</si>
  <si>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</si>
  <si>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</si>
  <si>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</si>
  <si>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</si>
  <si>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</si>
  <si>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</si>
  <si>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</si>
  <si>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</si>
  <si>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</si>
  <si>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</si>
  <si>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</si>
  <si>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</si>
  <si>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</si>
  <si>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</si>
  <si>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</si>
  <si>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</si>
  <si>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</si>
  <si>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</si>
  <si>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</si>
  <si>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</si>
  <si>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</si>
  <si>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</si>
  <si>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</si>
  <si>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</si>
  <si>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</si>
  <si>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</si>
  <si>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</si>
  <si>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</si>
  <si>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</si>
  <si>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</si>
  <si>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</si>
  <si>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</si>
  <si>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</si>
  <si>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</si>
  <si>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</si>
  <si>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</si>
  <si>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</si>
  <si>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</si>
  <si>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</si>
  <si>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</si>
  <si>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</si>
  <si>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</si>
  <si>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</si>
  <si>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</si>
  <si>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</si>
  <si>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</si>
  <si>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</si>
  <si>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</si>
  <si>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</si>
  <si>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</si>
  <si>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</si>
  <si>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</si>
  <si>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</si>
  <si>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</si>
  <si>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</si>
  <si>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</si>
  <si>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</si>
  <si>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</si>
  <si>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</si>
  <si>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</si>
  <si>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</si>
  <si>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</si>
  <si>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</si>
  <si>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</si>
  <si>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</si>
  <si>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</si>
  <si>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</si>
  <si>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</si>
  <si>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</si>
  <si>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</si>
  <si>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</si>
  <si>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</si>
  <si>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</si>
  <si>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</si>
  <si>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</si>
  <si>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</si>
  <si>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</si>
  <si>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</si>
  <si>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</si>
  <si>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</si>
  <si>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</si>
  <si>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</si>
  <si>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</si>
  <si>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</si>
  <si>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</si>
  <si>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</si>
  <si>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</si>
  <si>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</si>
  <si>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</si>
  <si>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</si>
  <si>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</si>
  <si>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</si>
  <si>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</si>
  <si>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</si>
  <si>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</si>
  <si>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</si>
  <si>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</si>
  <si>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</si>
  <si>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</si>
  <si>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</si>
  <si>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</si>
  <si>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</si>
  <si>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</si>
  <si>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</si>
  <si>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</si>
  <si>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</si>
  <si>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</si>
  <si>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</si>
  <si>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</si>
  <si>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</si>
  <si>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</si>
  <si>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</si>
  <si>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</si>
  <si>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</si>
  <si>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</si>
  <si>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</si>
  <si>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</si>
  <si>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</si>
  <si>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</si>
  <si>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</si>
  <si>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</si>
  <si>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</si>
  <si>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</si>
  <si>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</si>
  <si>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</si>
  <si>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</si>
  <si>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</si>
  <si>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</si>
  <si>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</si>
  <si>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</si>
  <si>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</si>
  <si>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</si>
  <si>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</si>
  <si>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</si>
  <si>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</si>
  <si>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</si>
  <si>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</si>
  <si>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</si>
  <si>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</si>
  <si>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</si>
  <si>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</si>
  <si>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</si>
  <si>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</si>
  <si>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</si>
  <si>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</si>
  <si>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</si>
  <si>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</si>
  <si>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</si>
  <si>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</si>
  <si>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</si>
  <si>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</si>
  <si>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</si>
  <si>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</si>
  <si>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</si>
  <si>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</si>
  <si>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</si>
  <si>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</si>
  <si>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</si>
  <si>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</si>
  <si>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</si>
  <si>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</si>
  <si>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</si>
  <si>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</si>
  <si>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</si>
  <si>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</si>
  <si>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</si>
  <si>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</si>
  <si>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</si>
  <si>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</si>
  <si>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</si>
  <si>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</si>
  <si>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</si>
  <si>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</si>
  <si>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</si>
  <si>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</si>
  <si>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</si>
  <si>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</si>
  <si>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</si>
  <si>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</si>
  <si>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</si>
  <si>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</si>
  <si>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</si>
  <si>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</si>
  <si>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</si>
  <si>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</si>
  <si>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</si>
  <si>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</si>
  <si>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</si>
  <si>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</si>
  <si>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</si>
  <si>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</si>
  <si>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</si>
  <si>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</si>
  <si>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</si>
  <si>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</si>
  <si>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</si>
  <si>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</si>
  <si>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</si>
  <si>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</si>
  <si>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</si>
  <si>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</si>
  <si>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</si>
  <si>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</si>
  <si>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</si>
  <si>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</si>
  <si>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</si>
  <si>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</si>
  <si>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</si>
  <si>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</si>
  <si>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</si>
  <si>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</si>
  <si>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</si>
  <si>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</si>
  <si>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</si>
  <si>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</si>
  <si>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</si>
  <si>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</si>
  <si>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</si>
  <si>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</si>
  <si>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</si>
  <si>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</si>
  <si>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</si>
  <si>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</si>
  <si>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</si>
  <si>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</si>
  <si>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</si>
  <si>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</si>
  <si>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</si>
  <si>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</si>
  <si>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</si>
  <si>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</si>
  <si>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</si>
  <si>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</si>
  <si>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</si>
  <si>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</si>
  <si>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</si>
  <si>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</si>
  <si>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</si>
  <si>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</si>
  <si>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</si>
  <si>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</si>
  <si>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</si>
  <si>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</si>
  <si>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</si>
  <si>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</si>
  <si>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</si>
  <si>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</si>
  <si>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</si>
  <si>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</si>
  <si>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</si>
  <si>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</si>
  <si>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</si>
  <si>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</si>
  <si>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</si>
  <si>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</si>
  <si>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</si>
  <si>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</si>
  <si>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</si>
  <si>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</si>
  <si>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</si>
  <si>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</si>
  <si>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</si>
  <si>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</si>
  <si>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</si>
  <si>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</si>
  <si>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</si>
  <si>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</si>
  <si>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</si>
  <si>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</si>
  <si>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</si>
  <si>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</si>
  <si>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</si>
  <si>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</si>
  <si>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</si>
  <si>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</si>
  <si>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</si>
  <si>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</si>
  <si>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</si>
  <si>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</si>
  <si>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</si>
  <si>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</si>
  <si>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</si>
  <si>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</si>
  <si>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</si>
  <si>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</si>
  <si>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</si>
  <si>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</si>
  <si>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</si>
  <si>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</si>
  <si>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</si>
  <si>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</si>
  <si>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</si>
  <si>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</si>
  <si>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</si>
  <si>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</si>
  <si>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</si>
  <si>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</si>
  <si>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</si>
  <si>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</si>
  <si>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</si>
  <si>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</si>
  <si>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</si>
  <si>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</si>
  <si>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</si>
  <si>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</si>
  <si>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</si>
  <si>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</si>
  <si>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</si>
  <si>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</si>
  <si>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</si>
  <si>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</si>
  <si>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</si>
  <si>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</si>
  <si>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</si>
  <si>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</si>
  <si>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</si>
  <si>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</si>
  <si>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</si>
  <si>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</si>
  <si>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</si>
  <si>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</si>
  <si>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</si>
  <si>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</si>
  <si>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</si>
  <si>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</si>
  <si>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</si>
  <si>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</si>
  <si>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</si>
  <si>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</si>
  <si>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</si>
  <si>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</si>
  <si>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</si>
  <si>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</si>
  <si>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</si>
  <si>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</si>
  <si>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</si>
  <si>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</si>
  <si>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</si>
  <si>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</si>
  <si>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</si>
  <si>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</si>
  <si>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</si>
  <si>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</si>
  <si>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</si>
  <si>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</si>
  <si>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</si>
  <si>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</si>
  <si>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</si>
  <si>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</si>
  <si>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</si>
  <si>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</si>
  <si>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</si>
  <si>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</si>
  <si>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</si>
  <si>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</si>
  <si>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</si>
  <si>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</si>
  <si>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</si>
  <si>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</si>
  <si>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</si>
  <si>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</si>
  <si>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</si>
  <si>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</si>
  <si>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</si>
  <si>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</si>
  <si>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</si>
  <si>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</si>
  <si>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</si>
  <si>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</si>
  <si>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</si>
  <si>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</si>
  <si>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</si>
  <si>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</si>
  <si>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</si>
  <si>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</si>
  <si>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</si>
  <si>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</si>
  <si>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</si>
  <si>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</si>
  <si>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</si>
  <si>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</si>
  <si>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</si>
  <si>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</si>
  <si>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</si>
  <si>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</si>
  <si>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</si>
  <si>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</si>
  <si>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</si>
  <si>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</si>
  <si>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</si>
  <si>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</si>
  <si>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</si>
  <si>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</si>
  <si>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</si>
  <si>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</si>
  <si>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</si>
  <si>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</si>
  <si>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</si>
  <si>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</si>
  <si>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</si>
  <si>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</si>
  <si>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</si>
  <si>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</si>
  <si>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</si>
  <si>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</si>
  <si>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</si>
  <si>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</si>
  <si>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</si>
  <si>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</si>
  <si>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</si>
  <si>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</si>
  <si>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</si>
  <si>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</si>
  <si>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</si>
  <si>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</si>
  <si>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</si>
  <si>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</si>
  <si>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</si>
  <si>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</si>
  <si>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</si>
  <si>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</si>
  <si>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</si>
  <si>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</si>
  <si>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</si>
  <si>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</si>
  <si>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</si>
  <si>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</si>
  <si>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</si>
  <si>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</si>
  <si>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</si>
  <si>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</si>
  <si>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</si>
  <si>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</si>
  <si>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</si>
  <si>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</si>
  <si>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</si>
  <si>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</si>
  <si>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</si>
  <si>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</si>
  <si>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</si>
  <si>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</si>
  <si>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</si>
  <si>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</si>
  <si>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</si>
  <si>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</si>
  <si>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</si>
  <si>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</si>
  <si>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</si>
  <si>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</si>
  <si>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</si>
  <si>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</si>
  <si>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</si>
  <si>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</si>
  <si>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</si>
  <si>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</si>
  <si>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</si>
  <si>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</si>
  <si>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</si>
  <si>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</si>
  <si>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</si>
  <si>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</si>
  <si>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</si>
  <si>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</si>
  <si>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</si>
  <si>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</si>
  <si>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</si>
  <si>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</si>
  <si>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</si>
  <si>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</si>
  <si>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</si>
  <si>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</si>
  <si>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</si>
  <si>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</si>
  <si>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</si>
  <si>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</si>
  <si>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</si>
  <si>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</si>
  <si>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</si>
  <si>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</si>
  <si>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</si>
  <si>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</si>
  <si>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</si>
  <si>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</si>
  <si>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</si>
  <si>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</si>
  <si>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</si>
  <si>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</si>
  <si>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</si>
  <si>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</si>
  <si>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</si>
  <si>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</si>
  <si>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</si>
  <si>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</si>
  <si>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</si>
  <si>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</si>
  <si>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</si>
  <si>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</si>
  <si>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</si>
  <si>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</si>
  <si>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</si>
  <si>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</si>
  <si>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</si>
  <si>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</si>
  <si>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</si>
  <si>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</si>
  <si>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</si>
  <si>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</si>
  <si>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</si>
  <si>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</si>
  <si>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</si>
  <si>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</si>
  <si>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</si>
  <si>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</si>
  <si>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</si>
  <si>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</si>
  <si>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</si>
  <si>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</si>
  <si>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</si>
  <si>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</si>
  <si>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</si>
  <si>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</si>
  <si>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</si>
  <si>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</si>
  <si>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</si>
  <si>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</si>
  <si>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</si>
  <si>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</si>
  <si>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</si>
  <si>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</si>
  <si>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</si>
  <si>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</si>
  <si>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</si>
  <si>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</si>
  <si>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</si>
  <si>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</si>
  <si>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</si>
  <si>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</si>
  <si>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</si>
  <si>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</si>
  <si>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</si>
  <si>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</si>
  <si>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</si>
  <si>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</si>
  <si>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</si>
  <si>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</si>
  <si>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</si>
  <si>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</si>
  <si>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</si>
  <si>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</si>
  <si>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</si>
  <si>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</si>
  <si>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</si>
  <si>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</si>
  <si>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</si>
  <si>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</si>
  <si>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</si>
  <si>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</si>
  <si>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</si>
  <si>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</si>
  <si>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</si>
  <si>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</si>
  <si>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</si>
  <si>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</si>
  <si>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</si>
  <si>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</si>
  <si>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</si>
  <si>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</si>
  <si>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</si>
  <si>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</si>
  <si>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</si>
  <si>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</si>
  <si>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</si>
  <si>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</si>
  <si>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</si>
  <si>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</si>
  <si>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</si>
  <si>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</si>
  <si>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</si>
  <si>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</si>
  <si>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</si>
  <si>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</si>
  <si>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</si>
  <si>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</si>
  <si>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</si>
  <si>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</si>
  <si>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</si>
  <si>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</si>
  <si>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</si>
  <si>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</si>
  <si>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</si>
  <si>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</si>
  <si>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</si>
  <si>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</si>
  <si>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</si>
  <si>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</si>
  <si>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</si>
  <si>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</si>
  <si>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</si>
  <si>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</si>
  <si>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</si>
  <si>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</si>
  <si>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</si>
  <si>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</si>
  <si>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</si>
  <si>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</si>
  <si>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</si>
  <si>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</si>
  <si>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</si>
  <si>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</si>
  <si>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</si>
  <si>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</si>
  <si>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</si>
  <si>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</si>
  <si>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</si>
  <si>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</si>
  <si>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</si>
  <si>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</si>
  <si>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</si>
  <si>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</si>
  <si>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</si>
  <si>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</si>
  <si>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</si>
  <si>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</si>
  <si>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</si>
  <si>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</si>
  <si>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</si>
  <si>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</si>
  <si>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</si>
  <si>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</si>
  <si>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</si>
  <si>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</si>
  <si>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</si>
  <si>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</si>
  <si>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</si>
  <si>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</si>
  <si>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</si>
  <si>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</si>
  <si>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</si>
  <si>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</si>
  <si>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</si>
  <si>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</si>
  <si>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</si>
  <si>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</si>
  <si>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</si>
  <si>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</si>
  <si>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</si>
  <si>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</si>
  <si>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</si>
  <si>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</si>
  <si>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</si>
  <si>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</si>
  <si>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</si>
  <si>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</si>
  <si>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</si>
  <si>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</si>
  <si>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</si>
  <si>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</si>
  <si>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</si>
  <si>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</si>
  <si>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</si>
  <si>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</si>
  <si>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</si>
  <si>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</si>
  <si>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</si>
  <si>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</si>
  <si>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</si>
  <si>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</si>
  <si>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</si>
  <si>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</si>
  <si>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</si>
  <si>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</si>
  <si>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</si>
  <si>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</si>
  <si>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</si>
  <si>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</si>
  <si>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</si>
  <si>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</si>
  <si>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</si>
  <si>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</si>
  <si>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</si>
  <si>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</si>
  <si>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</si>
  <si>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</si>
  <si>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</si>
  <si>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</si>
  <si>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</si>
  <si>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</si>
  <si>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</si>
  <si>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</si>
  <si>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</si>
  <si>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</si>
  <si>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</si>
  <si>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</si>
  <si>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</si>
  <si>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</si>
  <si>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</si>
  <si>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</si>
  <si>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</si>
  <si>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</si>
  <si>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</si>
  <si>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</si>
  <si>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</si>
  <si>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</si>
  <si>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</si>
  <si>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</si>
  <si>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</si>
  <si>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</si>
  <si>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</si>
  <si>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</si>
  <si>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</si>
  <si>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</si>
  <si>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</si>
  <si>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</si>
  <si>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</si>
  <si>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</si>
  <si>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</si>
  <si>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</si>
  <si>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</si>
  <si>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</si>
  <si>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</si>
  <si>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</si>
  <si>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</si>
  <si>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</si>
  <si>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</si>
  <si>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</si>
  <si>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</si>
  <si>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</si>
  <si>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</si>
  <si>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</si>
  <si>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</si>
  <si>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</si>
  <si>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</si>
  <si>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</si>
  <si>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</si>
  <si>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</si>
  <si>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</si>
  <si>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</si>
  <si>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</si>
  <si>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</si>
  <si>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</si>
  <si>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</si>
  <si>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</si>
  <si>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</si>
  <si>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</si>
  <si>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</si>
  <si>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</si>
  <si>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</si>
  <si>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</si>
  <si>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</si>
  <si>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</si>
  <si>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</si>
  <si>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</si>
  <si>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</si>
  <si>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</si>
  <si>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</si>
  <si>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</si>
  <si>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</si>
  <si>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</si>
  <si>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</si>
  <si>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</si>
  <si>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</si>
  <si>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</si>
  <si>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</si>
  <si>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</si>
  <si>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</si>
  <si>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</si>
  <si>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</si>
  <si>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</si>
  <si>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</si>
  <si>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</si>
  <si>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</si>
  <si>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</si>
  <si>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</si>
  <si>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</si>
  <si>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</si>
  <si>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</si>
  <si>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</si>
  <si>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</si>
  <si>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</si>
  <si>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</si>
  <si>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</si>
  <si>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</si>
  <si>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</si>
  <si>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</si>
  <si>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</si>
  <si>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</si>
  <si>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</si>
  <si>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</si>
  <si>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</si>
  <si>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</si>
  <si>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</si>
  <si>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</si>
  <si>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</si>
  <si>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</si>
  <si>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</si>
  <si>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</si>
  <si>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</si>
  <si>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</si>
  <si>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</si>
  <si>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</si>
  <si>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</si>
  <si>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</si>
  <si>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</si>
  <si>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</si>
  <si>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</si>
  <si>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</si>
  <si>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</si>
  <si>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</si>
  <si>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</si>
  <si>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</si>
  <si>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</si>
  <si>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</si>
  <si>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</si>
  <si>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</si>
  <si>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</si>
  <si>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</si>
  <si>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</si>
  <si>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</si>
  <si>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</si>
  <si>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</si>
  <si>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</si>
  <si>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</si>
  <si>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</si>
  <si>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</si>
  <si>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</si>
  <si>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</si>
  <si>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</si>
  <si>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</si>
  <si>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</si>
  <si>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</si>
  <si>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</si>
  <si>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</si>
  <si>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</si>
  <si>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</si>
  <si>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</si>
  <si>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</si>
  <si>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</si>
  <si>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</si>
  <si>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</si>
  <si>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</si>
  <si>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</si>
  <si>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</si>
  <si>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</si>
  <si>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</si>
  <si>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</si>
  <si>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</si>
  <si>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</si>
  <si>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</si>
  <si>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</si>
  <si>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</si>
  <si>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</si>
  <si>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</si>
  <si>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</si>
  <si>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</si>
  <si>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</si>
  <si>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</si>
  <si>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</si>
  <si>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</si>
  <si>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</si>
  <si>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</si>
  <si>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</si>
  <si>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</si>
  <si>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</si>
  <si>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</si>
  <si>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</si>
  <si>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</si>
  <si>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</si>
  <si>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</si>
  <si>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</si>
  <si>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</si>
  <si>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</si>
  <si>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</si>
  <si>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</si>
  <si>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</si>
  <si>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</si>
  <si>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</si>
  <si>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</si>
  <si>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</si>
  <si>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</si>
  <si>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</si>
  <si>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</si>
  <si>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</si>
  <si>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</si>
  <si>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</si>
  <si>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</si>
  <si>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</si>
  <si>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</si>
  <si>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</si>
  <si>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</si>
  <si>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</si>
  <si>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</si>
  <si>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</si>
  <si>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</si>
  <si>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</si>
  <si>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</si>
  <si>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</si>
  <si>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</si>
  <si>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</si>
  <si>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</si>
  <si>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</si>
  <si>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</si>
  <si>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</si>
  <si>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</si>
  <si>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</si>
  <si>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</si>
  <si>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</si>
  <si>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</si>
  <si>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</si>
  <si>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</si>
  <si>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</si>
  <si>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</si>
  <si>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</si>
  <si>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</si>
  <si>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</si>
  <si>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</si>
  <si>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</si>
  <si>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</si>
  <si>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</si>
  <si>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</si>
  <si>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</si>
  <si>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</si>
  <si>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</si>
  <si>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</si>
  <si>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</si>
  <si>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</si>
  <si>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</si>
  <si>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</si>
  <si>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</si>
  <si>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</si>
  <si>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</si>
  <si>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</si>
  <si>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</si>
  <si>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</si>
  <si>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</si>
  <si>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</si>
  <si>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</si>
  <si>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</si>
  <si>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</si>
  <si>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</si>
  <si>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</si>
  <si>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</si>
  <si>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</si>
  <si>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</si>
  <si>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</si>
  <si>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</si>
  <si>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</si>
  <si>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</si>
  <si>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</si>
  <si>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</si>
  <si>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</si>
  <si>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</si>
  <si>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</si>
  <si>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</si>
  <si>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</si>
  <si>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</si>
  <si>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</si>
  <si>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</si>
  <si>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</si>
  <si>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</si>
  <si>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</si>
  <si>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</si>
  <si>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</si>
  <si>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</si>
  <si>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</si>
  <si>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</si>
  <si>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</si>
  <si>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</si>
  <si>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</si>
  <si>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</si>
  <si>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</si>
  <si>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</si>
  <si>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</si>
  <si>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</si>
  <si>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</si>
  <si>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</si>
  <si>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</si>
  <si>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</si>
  <si>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</si>
  <si>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</si>
  <si>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</si>
  <si>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</si>
  <si>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</si>
  <si>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</si>
  <si>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</si>
  <si>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</si>
  <si>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</si>
  <si>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</si>
  <si>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</si>
  <si>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</si>
  <si>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</si>
  <si>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</si>
  <si>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</si>
  <si>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</si>
  <si>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</si>
  <si>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</si>
  <si>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</si>
  <si>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</si>
  <si>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</si>
  <si>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</si>
  <si>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</si>
  <si>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</si>
  <si>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</si>
  <si>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</si>
  <si>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</si>
  <si>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</si>
  <si>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</si>
  <si>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</si>
  <si>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</si>
  <si>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</si>
  <si>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</si>
  <si>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</si>
  <si>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</si>
  <si>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</si>
  <si>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</si>
  <si>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</si>
  <si>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</si>
  <si>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</si>
  <si>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</si>
  <si>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</si>
  <si>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</si>
  <si>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</si>
  <si>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</si>
  <si>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</si>
  <si>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</si>
  <si>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</si>
  <si>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</si>
  <si>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</si>
  <si>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</si>
  <si>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</si>
  <si>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</si>
  <si>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</si>
  <si>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</si>
  <si>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</si>
  <si>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</si>
  <si>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</si>
  <si>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</si>
  <si>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</si>
  <si>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</si>
  <si>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</si>
  <si>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</si>
  <si>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</si>
  <si>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</si>
  <si>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</si>
  <si>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</si>
  <si>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</si>
  <si>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</si>
  <si>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</si>
  <si>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</si>
  <si>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</si>
  <si>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</si>
  <si>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</si>
  <si>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</si>
  <si>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</si>
  <si>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</si>
  <si>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</si>
  <si>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</si>
  <si>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</si>
  <si>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</si>
  <si>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</si>
  <si>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</si>
  <si>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</si>
  <si>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</si>
  <si>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</si>
  <si>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</si>
  <si>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</si>
  <si>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</si>
  <si>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</si>
  <si>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</si>
  <si>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</si>
  <si>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</si>
  <si>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</si>
  <si>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</si>
  <si>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</si>
  <si>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</si>
  <si>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</si>
  <si>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</si>
  <si>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</si>
  <si>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</si>
  <si>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</si>
  <si>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</si>
  <si>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</si>
  <si>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</si>
  <si>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</si>
  <si>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</si>
  <si>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</si>
  <si>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</si>
  <si>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</si>
  <si>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</si>
  <si>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</si>
  <si>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</si>
  <si>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</si>
  <si>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</si>
  <si>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</si>
  <si>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</si>
  <si>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</si>
  <si>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</si>
  <si>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</si>
  <si>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</si>
  <si>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</si>
  <si>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</si>
  <si>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</si>
  <si>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</si>
  <si>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</si>
  <si>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</si>
  <si>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</si>
  <si>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</si>
  <si>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</si>
  <si>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</si>
  <si>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</si>
  <si>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</si>
  <si>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</si>
  <si>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</si>
  <si>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</si>
  <si>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</si>
  <si>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</si>
  <si>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</si>
  <si>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</si>
  <si>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</si>
  <si>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</si>
  <si>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</si>
  <si>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</si>
  <si>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</si>
  <si>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</si>
  <si>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</si>
  <si>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</si>
  <si>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</si>
  <si>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</si>
  <si>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</si>
  <si>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</si>
  <si>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</si>
  <si>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</si>
  <si>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</si>
  <si>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</si>
  <si>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</si>
  <si>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</si>
  <si>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</si>
  <si>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</si>
  <si>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</si>
  <si>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</si>
  <si>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</si>
  <si>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</si>
  <si>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</si>
  <si>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</si>
  <si>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</si>
  <si>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</si>
  <si>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</si>
  <si>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</si>
  <si>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</si>
  <si>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</si>
  <si>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</si>
  <si>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</si>
  <si>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</si>
  <si>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</si>
  <si>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</si>
  <si>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</si>
  <si>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</si>
  <si>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</si>
  <si>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</si>
  <si>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</si>
  <si>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</si>
  <si>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</si>
  <si>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</si>
  <si>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</si>
  <si>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</si>
  <si>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</si>
  <si>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</si>
  <si>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</si>
  <si>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</si>
  <si>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</si>
  <si>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</si>
  <si>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</si>
  <si>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</si>
  <si>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</si>
  <si>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</si>
  <si>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</si>
  <si>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</si>
  <si>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</si>
  <si>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</si>
  <si>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</si>
  <si>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</si>
  <si>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</si>
  <si>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</si>
  <si>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</si>
  <si>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</si>
  <si>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</si>
  <si>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</si>
  <si>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</si>
  <si>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</si>
  <si>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</si>
  <si>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</si>
  <si>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</si>
  <si>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</si>
  <si>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</si>
  <si>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</si>
  <si>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</si>
  <si>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</si>
  <si>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</si>
  <si>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</si>
  <si>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</si>
  <si>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</si>
  <si>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</si>
  <si>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</si>
  <si>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</si>
  <si>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</si>
  <si>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</si>
  <si>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</si>
  <si>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</si>
  <si>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</si>
  <si>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</si>
  <si>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</si>
  <si>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</si>
  <si>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</si>
  <si>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</si>
  <si>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</si>
  <si>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</si>
  <si>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</si>
  <si>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</si>
  <si>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</si>
  <si>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</si>
  <si>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</si>
  <si>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</si>
  <si>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</si>
  <si>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</si>
  <si>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</si>
  <si>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</si>
  <si>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</si>
  <si>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</si>
  <si>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</si>
  <si>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</si>
  <si>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</si>
  <si>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</si>
  <si>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</si>
  <si>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</si>
  <si>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</si>
  <si>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</si>
  <si>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</si>
  <si>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</si>
  <si>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</si>
  <si>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</si>
  <si>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</si>
  <si>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</si>
  <si>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</si>
  <si>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</si>
  <si>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</si>
  <si>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</si>
  <si>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</si>
  <si>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</si>
  <si>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</si>
  <si>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</si>
  <si>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</si>
  <si>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</si>
  <si>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</si>
  <si>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</si>
  <si>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</si>
  <si>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</si>
  <si>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</si>
  <si>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</si>
  <si>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</si>
  <si>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</si>
  <si>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</si>
  <si>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</si>
  <si>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</si>
  <si>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</si>
  <si>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</si>
  <si>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</si>
  <si>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</si>
  <si>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</si>
  <si>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</si>
  <si>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</si>
  <si>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</si>
  <si>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</si>
  <si>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</si>
  <si>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</si>
  <si>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</si>
  <si>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</si>
  <si>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</si>
  <si>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</si>
  <si>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</si>
  <si>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</si>
  <si>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</si>
  <si>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</si>
  <si>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</si>
  <si>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</si>
  <si>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</si>
  <si>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</si>
  <si>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</si>
  <si>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</si>
  <si>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</si>
  <si>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</si>
  <si>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</si>
  <si>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</si>
  <si>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</si>
  <si>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</si>
  <si>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</si>
  <si>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</si>
  <si>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</si>
  <si>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</si>
  <si>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</si>
  <si>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</si>
  <si>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</si>
  <si>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</si>
  <si>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</si>
  <si>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</si>
  <si>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</si>
  <si>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</si>
  <si>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</si>
  <si>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</si>
  <si>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</si>
  <si>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</si>
  <si>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</si>
  <si>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</si>
  <si>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</si>
  <si>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</si>
  <si>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</si>
  <si>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</si>
  <si>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</si>
  <si>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</si>
  <si>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</si>
  <si>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</si>
  <si>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</si>
  <si>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</si>
  <si>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</si>
  <si>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</si>
  <si>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</si>
  <si>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</si>
  <si>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</si>
  <si>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</si>
  <si>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</si>
  <si>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</si>
  <si>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</si>
  <si>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</si>
  <si>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</si>
  <si>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</si>
  <si>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</si>
  <si>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</si>
  <si>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</si>
  <si>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</si>
  <si>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</si>
  <si>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</si>
  <si>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</si>
  <si>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</si>
  <si>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</si>
  <si>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</si>
  <si>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</si>
  <si>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</si>
  <si>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</si>
  <si>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</si>
  <si>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</si>
  <si>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</si>
  <si>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</si>
  <si>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</si>
  <si>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</si>
  <si>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</si>
  <si>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</si>
  <si>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</si>
  <si>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</si>
  <si>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</si>
  <si>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</si>
  <si>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</si>
  <si>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</si>
  <si>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</si>
  <si>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</si>
  <si>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</si>
  <si>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</si>
  <si>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</si>
  <si>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</si>
  <si>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</si>
  <si>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</si>
  <si>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</si>
  <si>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</si>
  <si>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</si>
  <si>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</si>
  <si>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</si>
  <si>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</si>
  <si>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</si>
  <si>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</si>
  <si>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</si>
  <si>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</si>
  <si>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</si>
  <si>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</si>
  <si>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</si>
  <si>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</si>
  <si>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</si>
  <si>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</si>
  <si>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</si>
  <si>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</si>
  <si>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</si>
  <si>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</si>
  <si>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</si>
  <si>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</si>
  <si>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</si>
  <si>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</si>
  <si>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</si>
  <si>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</si>
  <si>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</si>
  <si>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</si>
  <si>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</si>
  <si>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</si>
  <si>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</si>
  <si>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</si>
  <si>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</si>
  <si>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</si>
  <si>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</si>
  <si>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</si>
  <si>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</si>
  <si>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</si>
  <si>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</si>
  <si>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</si>
  <si>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</si>
  <si>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</si>
  <si>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</si>
  <si>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</si>
  <si>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</si>
  <si>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</si>
  <si>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</si>
  <si>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</si>
  <si>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</si>
  <si>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</si>
  <si>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</si>
  <si>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</si>
  <si>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</si>
  <si>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</si>
  <si>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</si>
  <si>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</si>
  <si>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</si>
  <si>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</si>
  <si>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</si>
  <si>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</si>
  <si>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</si>
  <si>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</si>
  <si>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</si>
  <si>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</si>
  <si>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</si>
  <si>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</si>
  <si>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</si>
  <si>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</si>
  <si>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</si>
  <si>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</si>
  <si>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</si>
  <si>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</si>
  <si>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</si>
  <si>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</si>
  <si>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</si>
  <si>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</si>
  <si>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</si>
  <si>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</si>
  <si>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</si>
  <si>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</si>
  <si>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</si>
  <si>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</si>
  <si>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</si>
  <si>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</si>
  <si>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</si>
  <si>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</si>
  <si>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</si>
  <si>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</si>
  <si>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</si>
  <si>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</si>
  <si>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</si>
  <si>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</si>
  <si>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</si>
  <si>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</si>
  <si>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</si>
  <si>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</si>
  <si>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</si>
  <si>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</si>
  <si>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</si>
  <si>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</si>
  <si>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</si>
  <si>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</si>
  <si>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</si>
  <si>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</si>
  <si>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</si>
  <si>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</si>
  <si>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</si>
  <si>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</si>
  <si>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</si>
  <si>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</si>
  <si>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</si>
  <si>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</si>
  <si>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</si>
  <si>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</si>
  <si>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</si>
  <si>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</si>
  <si>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</si>
  <si>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</si>
  <si>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</si>
  <si>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</si>
  <si>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</si>
  <si>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</si>
  <si>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</si>
  <si>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</si>
  <si>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</si>
  <si>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</si>
  <si>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</si>
  <si>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</si>
  <si>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</si>
  <si>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</si>
  <si>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</si>
  <si>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</si>
  <si>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</si>
  <si>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</si>
  <si>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</si>
  <si>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</si>
  <si>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</si>
  <si>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</si>
  <si>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</si>
  <si>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</si>
  <si>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</si>
  <si>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</si>
  <si>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</si>
  <si>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</si>
  <si>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</si>
  <si>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</si>
  <si>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</si>
  <si>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</si>
  <si>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</si>
  <si>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</si>
  <si>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</si>
  <si>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</si>
  <si>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</si>
  <si>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</si>
  <si>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</si>
  <si>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</si>
  <si>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</si>
  <si>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</si>
  <si>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</si>
  <si>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</si>
  <si>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</si>
  <si>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</si>
  <si>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</si>
  <si>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</si>
  <si>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</si>
  <si>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</si>
  <si>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</si>
  <si>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</si>
  <si>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</si>
  <si>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</si>
  <si>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</si>
  <si>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</si>
  <si>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</si>
  <si>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</si>
  <si>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</si>
  <si>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</si>
  <si>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</si>
  <si>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</si>
  <si>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</si>
  <si>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</si>
  <si>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</si>
  <si>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</si>
  <si>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</si>
  <si>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</si>
  <si>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</si>
  <si>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</si>
  <si>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</si>
  <si>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</si>
  <si>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</si>
  <si>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</si>
  <si>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</si>
  <si>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</si>
  <si>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</si>
  <si>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</si>
  <si>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</si>
  <si>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</si>
  <si>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</si>
  <si>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</si>
  <si>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</si>
  <si>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</si>
  <si>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</si>
  <si>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</si>
  <si>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</si>
  <si>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</si>
  <si>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</si>
  <si>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</si>
  <si>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</si>
  <si>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</si>
  <si>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</si>
  <si>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</si>
  <si>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</si>
  <si>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</si>
  <si>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</si>
  <si>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</si>
  <si>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</si>
  <si>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</si>
  <si>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</si>
  <si>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</si>
  <si>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</si>
  <si>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</si>
  <si>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</si>
  <si>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</si>
  <si>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</si>
  <si>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</si>
  <si>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</si>
  <si>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</si>
  <si>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</si>
  <si>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</si>
  <si>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</si>
  <si>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</si>
  <si>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</si>
  <si>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</si>
  <si>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</si>
  <si>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</si>
  <si>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</si>
  <si>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</si>
  <si>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</si>
  <si>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</si>
  <si>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</si>
  <si>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</si>
  <si>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</si>
  <si>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</si>
  <si>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</si>
  <si>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</si>
  <si>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</si>
  <si>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</si>
  <si>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</si>
  <si>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</si>
  <si>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</si>
  <si>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</si>
  <si>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</si>
  <si>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</si>
  <si>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</si>
  <si>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</si>
  <si>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</si>
  <si>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</si>
  <si>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</si>
  <si>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</si>
  <si>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</si>
  <si>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</si>
  <si>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</si>
  <si>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</si>
  <si>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</si>
  <si>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</si>
  <si>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</si>
  <si>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</si>
  <si>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</si>
  <si>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</si>
  <si>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</si>
  <si>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</si>
  <si>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</si>
  <si>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</si>
  <si>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</si>
  <si>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</si>
  <si>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</si>
  <si>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</si>
  <si>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</si>
  <si>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</si>
  <si>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</si>
  <si>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</si>
  <si>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</si>
  <si>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</si>
  <si>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</si>
  <si>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</si>
  <si>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</si>
  <si>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</si>
  <si>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</si>
  <si>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</si>
  <si>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</si>
  <si>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</si>
  <si>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</si>
  <si>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</si>
  <si>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</si>
  <si>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</si>
  <si>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</si>
  <si>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</si>
  <si>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</si>
  <si>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</si>
  <si>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</si>
  <si>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</si>
  <si>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</si>
  <si>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</si>
  <si>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</si>
  <si>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</si>
  <si>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</si>
  <si>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</si>
  <si>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</si>
  <si>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</si>
  <si>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</si>
  <si>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</si>
  <si>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</si>
  <si>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</si>
  <si>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</si>
  <si>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</si>
  <si>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</si>
  <si>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</si>
  <si>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</si>
  <si>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</si>
  <si>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</si>
  <si>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</si>
  <si>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</si>
  <si>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</si>
  <si>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</si>
  <si>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</si>
  <si>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</si>
  <si>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</si>
  <si>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</si>
  <si>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</si>
  <si>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</si>
  <si>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</si>
  <si>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</si>
  <si>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</si>
  <si>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</si>
  <si>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</si>
  <si>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</si>
  <si>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</si>
  <si>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</si>
  <si>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</si>
  <si>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</si>
  <si>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</si>
  <si>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</si>
  <si>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</si>
  <si>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</si>
  <si>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</si>
  <si>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</si>
  <si>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</si>
  <si>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</si>
  <si>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</si>
  <si>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</si>
  <si>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</si>
  <si>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</si>
  <si>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</si>
  <si>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</si>
  <si>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</si>
  <si>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</si>
  <si>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</si>
  <si>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</si>
  <si>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</si>
  <si>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</si>
  <si>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</si>
  <si>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</si>
  <si>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</si>
  <si>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</si>
  <si>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</si>
  <si>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</si>
  <si>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</si>
  <si>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</si>
  <si>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</si>
  <si>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</si>
  <si>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</si>
  <si>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</si>
  <si>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</si>
  <si>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</si>
  <si>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</si>
  <si>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</si>
  <si>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</si>
  <si>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</si>
  <si>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</si>
  <si>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</si>
  <si>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</si>
  <si>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</si>
  <si>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</si>
  <si>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</si>
  <si>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</si>
  <si>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</si>
  <si>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</si>
  <si>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</si>
  <si>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</si>
  <si>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</si>
  <si>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</si>
  <si>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</si>
  <si>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</si>
  <si>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</si>
  <si>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</si>
  <si>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</si>
  <si>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</si>
  <si>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</si>
  <si>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</si>
  <si>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</si>
  <si>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</si>
  <si>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</si>
  <si>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</si>
  <si>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</si>
  <si>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</si>
  <si>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</si>
  <si>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</si>
  <si>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</si>
  <si>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</si>
  <si>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</si>
  <si>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</si>
  <si>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</si>
  <si>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</si>
  <si>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</si>
  <si>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</si>
  <si>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</si>
  <si>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</si>
  <si>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</si>
  <si>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</si>
  <si>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</si>
  <si>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</si>
  <si>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</si>
  <si>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</si>
  <si>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</si>
  <si>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</si>
  <si>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</si>
  <si>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</si>
  <si>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</si>
  <si>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</si>
  <si>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</si>
  <si>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</si>
  <si>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</si>
  <si>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</si>
  <si>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</si>
  <si>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</si>
  <si>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</si>
  <si>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</si>
  <si>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</si>
  <si>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</si>
  <si>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</si>
  <si>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</si>
  <si>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</si>
  <si>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</si>
  <si>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</si>
  <si>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</si>
  <si>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</si>
  <si>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</si>
  <si>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</si>
  <si>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</si>
  <si>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</si>
  <si>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</si>
  <si>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</si>
  <si>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</si>
  <si>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</si>
  <si>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</si>
  <si>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</si>
  <si>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</si>
  <si>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</si>
  <si>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</si>
  <si>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</si>
  <si>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</si>
  <si>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</si>
  <si>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</si>
  <si>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</si>
  <si>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</si>
  <si>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</si>
  <si>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</si>
  <si>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</si>
  <si>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</si>
  <si>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</si>
  <si>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</si>
  <si>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</si>
  <si>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</si>
  <si>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</si>
  <si>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</si>
  <si>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</si>
  <si>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</si>
  <si>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</si>
  <si>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</si>
  <si>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</si>
  <si>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</si>
  <si>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</si>
  <si>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</si>
  <si>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</si>
  <si>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</si>
  <si>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</si>
  <si>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</si>
  <si>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</si>
  <si>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</si>
  <si>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</si>
  <si>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</si>
  <si>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</si>
  <si>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</si>
  <si>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</si>
  <si>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</si>
  <si>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</si>
  <si>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</si>
  <si>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</si>
  <si>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</si>
  <si>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</si>
  <si>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</si>
  <si>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</si>
  <si>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</si>
  <si>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</si>
  <si>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</si>
  <si>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</si>
  <si>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</si>
  <si>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</si>
  <si>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</si>
  <si>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</si>
  <si>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</si>
  <si>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</si>
  <si>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</si>
  <si>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</si>
  <si>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</si>
  <si>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</si>
  <si>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</si>
  <si>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</si>
  <si>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</si>
  <si>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</si>
  <si>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</si>
  <si>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</si>
  <si>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</si>
  <si>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</si>
  <si>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</si>
  <si>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</si>
  <si>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</si>
  <si>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</si>
  <si>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</si>
  <si>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</si>
  <si>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</si>
  <si>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</si>
  <si>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</si>
  <si>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</si>
  <si>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</si>
  <si>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</si>
  <si>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</si>
  <si>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</si>
  <si>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</si>
  <si>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</si>
  <si>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</si>
  <si>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</si>
  <si>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</si>
  <si>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</si>
  <si>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</si>
  <si>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</si>
  <si>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</si>
  <si>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</si>
  <si>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</si>
  <si>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</si>
  <si>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</si>
  <si>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</si>
  <si>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</si>
  <si>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</si>
  <si>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</si>
  <si>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</si>
  <si>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</si>
  <si>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</si>
  <si>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</si>
  <si>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</si>
  <si>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</si>
  <si>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</si>
  <si>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</si>
  <si>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</si>
  <si>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</si>
  <si>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</si>
  <si>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</si>
  <si>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</si>
  <si>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</si>
  <si>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</si>
  <si>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</si>
  <si>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</si>
  <si>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</si>
  <si>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</si>
  <si>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</si>
  <si>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</si>
  <si>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</si>
  <si>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</si>
  <si>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</si>
  <si>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</si>
  <si>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</si>
  <si>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</si>
  <si>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</si>
  <si>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</si>
  <si>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</si>
  <si>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</si>
  <si>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</si>
  <si>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</si>
  <si>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</si>
  <si>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</si>
  <si>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</si>
  <si>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</si>
  <si>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</si>
  <si>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</si>
  <si>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</si>
  <si>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</si>
  <si>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</si>
  <si>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</si>
  <si>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</si>
  <si>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</si>
  <si>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</si>
  <si>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</si>
  <si>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</si>
  <si>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</si>
  <si>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</si>
  <si>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</si>
  <si>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</si>
  <si>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</si>
  <si>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</si>
  <si>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</si>
  <si>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</si>
  <si>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</si>
  <si>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</si>
  <si>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</si>
  <si>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</si>
  <si>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</si>
  <si>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</si>
  <si>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</si>
  <si>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</si>
  <si>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</si>
  <si>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</si>
  <si>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</si>
  <si>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</si>
  <si>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</si>
  <si>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</si>
  <si>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</si>
  <si>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</si>
  <si>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</si>
  <si>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</si>
  <si>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</si>
  <si>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</si>
  <si>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</si>
  <si>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</si>
  <si>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</si>
  <si>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</si>
  <si>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</si>
  <si>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</si>
  <si>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</si>
  <si>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</si>
  <si>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</si>
  <si>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</si>
  <si>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</si>
  <si>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</si>
  <si>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</si>
  <si>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</si>
  <si>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</si>
  <si>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</si>
  <si>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</si>
  <si>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</si>
  <si>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</si>
  <si>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</si>
  <si>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</si>
  <si>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</si>
  <si>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</si>
  <si>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</si>
  <si>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</si>
  <si>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</si>
  <si>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</si>
  <si>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</si>
  <si>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</si>
  <si>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</si>
  <si>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</si>
  <si>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</si>
  <si>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</si>
  <si>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</si>
  <si>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</si>
  <si>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</si>
  <si>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</si>
  <si>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</si>
  <si>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</si>
  <si>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</si>
  <si>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</si>
  <si>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</si>
  <si>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</si>
  <si>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</si>
  <si>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</si>
  <si>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</si>
  <si>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</si>
  <si>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</si>
  <si>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</si>
  <si>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</si>
  <si>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</si>
  <si>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</si>
  <si>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</si>
  <si>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</si>
  <si>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</si>
  <si>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</si>
  <si>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</si>
  <si>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</si>
  <si>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</si>
  <si>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</si>
  <si>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</si>
  <si>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</si>
  <si>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</si>
  <si>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</si>
  <si>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</si>
  <si>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</si>
  <si>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</si>
  <si>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</si>
  <si>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</si>
  <si>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</si>
  <si>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</si>
  <si>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</si>
  <si>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</si>
  <si>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</si>
  <si>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</si>
  <si>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</si>
  <si>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</si>
  <si>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</si>
  <si>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</si>
  <si>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</si>
  <si>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</si>
  <si>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</si>
  <si>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</si>
  <si>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</si>
  <si>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</si>
  <si>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</si>
  <si>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</si>
  <si>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</si>
  <si>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</si>
  <si>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</si>
  <si>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</si>
  <si>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</si>
  <si>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</si>
  <si>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</si>
  <si>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</si>
  <si>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</si>
  <si>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</si>
  <si>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</si>
  <si>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</si>
  <si>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</si>
  <si>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</si>
  <si>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</si>
  <si>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</si>
  <si>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</si>
  <si>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</si>
  <si>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</si>
  <si>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</si>
  <si>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</si>
  <si>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</si>
  <si>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</si>
  <si>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</si>
  <si>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</si>
  <si>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</si>
  <si>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</si>
  <si>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</si>
  <si>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</si>
  <si>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</si>
  <si>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</si>
  <si>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</si>
  <si>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</si>
  <si>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</si>
  <si>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</si>
  <si>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</si>
  <si>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</si>
  <si>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</si>
  <si>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</si>
  <si>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</si>
  <si>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</si>
  <si>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</si>
  <si>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</si>
  <si>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</si>
  <si>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</si>
  <si>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</si>
  <si>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</si>
  <si>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</si>
  <si>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</si>
  <si>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</si>
  <si>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</si>
  <si>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</si>
  <si>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</si>
  <si>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</si>
  <si>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</si>
  <si>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</si>
  <si>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</si>
  <si>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</si>
  <si>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</si>
  <si>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</si>
  <si>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</si>
  <si>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</si>
  <si>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</si>
  <si>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</si>
  <si>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</si>
  <si>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</si>
  <si>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</si>
  <si>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</si>
  <si>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</si>
  <si>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</si>
  <si>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</si>
  <si>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</si>
  <si>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</si>
  <si>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</si>
  <si>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</si>
  <si>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</si>
  <si>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</si>
  <si>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</si>
  <si>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</si>
  <si>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</si>
  <si>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</si>
  <si>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</si>
  <si>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</si>
  <si>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</si>
  <si>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</si>
  <si>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</si>
  <si>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</si>
  <si>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</si>
  <si>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</si>
  <si>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</si>
  <si>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</si>
  <si>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</si>
  <si>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</si>
  <si>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</si>
  <si>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</si>
  <si>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</si>
  <si>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</si>
  <si>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</si>
  <si>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</si>
  <si>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</si>
  <si>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</si>
  <si>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</si>
  <si>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</si>
  <si>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</si>
  <si>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</si>
  <si>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</si>
  <si>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</si>
  <si>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</si>
  <si>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</si>
  <si>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</si>
  <si>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</si>
  <si>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</si>
  <si>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</si>
  <si>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</si>
  <si>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</si>
  <si>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</si>
  <si>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</si>
  <si>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</si>
  <si>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</si>
  <si>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</si>
  <si>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</si>
  <si>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</si>
  <si>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</si>
  <si>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</si>
  <si>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</si>
  <si>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</si>
  <si>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</si>
  <si>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</si>
  <si>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</si>
  <si>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</si>
  <si>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</si>
  <si>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</si>
  <si>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</si>
  <si>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</si>
  <si>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</si>
  <si>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</si>
  <si>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</si>
  <si>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</si>
  <si>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</si>
  <si>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</si>
  <si>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</si>
  <si>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</si>
  <si>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</si>
  <si>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</si>
  <si>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</si>
  <si>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</si>
  <si>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</si>
  <si>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</si>
  <si>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</si>
  <si>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</si>
  <si>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</si>
  <si>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</si>
  <si>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</si>
  <si>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</si>
  <si>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</si>
  <si>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</si>
  <si>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</si>
  <si>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</si>
  <si>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</si>
  <si>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</si>
  <si>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</si>
  <si>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</si>
  <si>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</si>
  <si>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</si>
  <si>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</si>
  <si>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</si>
  <si>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</si>
  <si>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</si>
  <si>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</si>
  <si>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</si>
  <si>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</si>
  <si>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</si>
  <si>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</si>
  <si>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</si>
  <si>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</si>
  <si>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</si>
  <si>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</si>
  <si>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</si>
  <si>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</si>
  <si>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</si>
  <si>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</si>
  <si>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</si>
  <si>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</si>
  <si>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</si>
  <si>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</si>
  <si>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</si>
  <si>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</si>
  <si>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</si>
  <si>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</si>
  <si>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</si>
  <si>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</si>
  <si>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</si>
  <si>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</si>
  <si>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</si>
  <si>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</si>
  <si>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</si>
  <si>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</si>
  <si>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</si>
  <si>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</si>
  <si>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</si>
  <si>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</si>
  <si>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</si>
  <si>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</si>
  <si>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</si>
  <si>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</si>
  <si>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</si>
  <si>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</si>
  <si>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</si>
  <si>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</si>
  <si>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</si>
  <si>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</si>
  <si>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</si>
  <si>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</si>
  <si>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</si>
  <si>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</si>
  <si>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</si>
  <si>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</si>
  <si>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</si>
  <si>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</si>
  <si>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</si>
  <si>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</si>
  <si>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</si>
  <si>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</si>
  <si>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</si>
  <si>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</si>
  <si>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</si>
  <si>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</si>
  <si>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</si>
  <si>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</si>
  <si>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</si>
  <si>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</si>
  <si>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</si>
  <si>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</si>
  <si>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</si>
  <si>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</si>
  <si>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</si>
  <si>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</si>
  <si>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</si>
  <si>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</si>
  <si>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</si>
  <si>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</si>
  <si>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</si>
  <si>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</si>
  <si>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</si>
  <si>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</si>
  <si>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</si>
  <si>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</si>
  <si>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</si>
  <si>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</si>
  <si>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</si>
  <si>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</si>
  <si>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</si>
  <si>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</si>
  <si>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</si>
  <si>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</si>
  <si>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</si>
  <si>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</si>
  <si>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</si>
  <si>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</si>
  <si>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</si>
  <si>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</si>
  <si>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</si>
  <si>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</si>
  <si>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</si>
  <si>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</si>
  <si>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</si>
  <si>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</si>
  <si>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</si>
  <si>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</si>
  <si>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</si>
  <si>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</si>
  <si>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</si>
  <si>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</si>
  <si>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</si>
  <si>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</si>
  <si>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</si>
  <si>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</si>
  <si>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</si>
  <si>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</si>
  <si>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</si>
  <si>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</si>
  <si>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</si>
  <si>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</si>
  <si>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</si>
  <si>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</si>
  <si>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</si>
  <si>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</si>
  <si>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</si>
  <si>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</si>
  <si>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</si>
  <si>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</si>
  <si>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</si>
  <si>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</si>
  <si>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</si>
  <si>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</si>
  <si>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</si>
  <si>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</si>
  <si>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</si>
  <si>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</si>
  <si>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</si>
  <si>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</si>
  <si>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</si>
  <si>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</si>
  <si>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</si>
  <si>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</si>
  <si>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</si>
  <si>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</si>
  <si>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</si>
  <si>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</si>
  <si>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</si>
  <si>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</si>
  <si>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</si>
  <si>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</si>
  <si>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</si>
  <si>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</si>
  <si>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</si>
  <si>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</si>
  <si>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</si>
  <si>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</si>
  <si>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</si>
  <si>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</si>
  <si>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</si>
  <si>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</si>
  <si>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</si>
  <si>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</si>
  <si>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</si>
  <si>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</si>
  <si>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</si>
  <si>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</si>
  <si>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</si>
  <si>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</si>
  <si>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</si>
  <si>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</si>
  <si>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</si>
  <si>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</si>
  <si>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</si>
  <si>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</si>
  <si>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</si>
  <si>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</si>
  <si>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</si>
  <si>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</si>
  <si>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</si>
  <si>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</si>
  <si>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</si>
  <si>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</si>
  <si>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</si>
  <si>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</si>
  <si>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</si>
  <si>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</si>
  <si>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</si>
  <si>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</si>
  <si>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</si>
  <si>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</si>
  <si>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</si>
  <si>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</si>
  <si>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</si>
  <si>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</si>
  <si>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</si>
  <si>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</si>
  <si>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</si>
  <si>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</si>
  <si>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</si>
  <si>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</si>
  <si>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</si>
  <si>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</si>
  <si>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</si>
  <si>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</si>
  <si>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</si>
  <si>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</si>
  <si>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</si>
  <si>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</si>
  <si>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</si>
  <si>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</si>
  <si>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</si>
  <si>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</si>
  <si>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</si>
  <si>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</si>
  <si>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</si>
  <si>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</si>
  <si>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</si>
  <si>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</si>
  <si>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</si>
  <si>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</si>
  <si>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</si>
  <si>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</si>
  <si>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</si>
  <si>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</si>
  <si>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</si>
  <si>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</si>
  <si>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</si>
  <si>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</si>
  <si>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</si>
  <si>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</si>
  <si>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</si>
  <si>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</si>
  <si>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</si>
  <si>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</si>
  <si>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</si>
  <si>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</si>
  <si>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</si>
  <si>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</si>
  <si>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</si>
  <si>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</si>
  <si>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</si>
  <si>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</si>
  <si>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</si>
  <si>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</si>
  <si>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</si>
  <si>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</si>
  <si>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</si>
  <si>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</si>
  <si>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</si>
  <si>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</si>
  <si>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</si>
  <si>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</si>
  <si>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</si>
  <si>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</si>
  <si>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</si>
  <si>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</si>
  <si>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</si>
  <si>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</si>
  <si>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</si>
  <si>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</si>
  <si>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</si>
  <si>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</si>
  <si>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</si>
  <si>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</si>
  <si>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</si>
  <si>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</si>
  <si>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</si>
  <si>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</si>
  <si>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</si>
  <si>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</si>
  <si>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</si>
  <si>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</si>
  <si>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</si>
  <si>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</si>
  <si>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</si>
  <si>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</si>
  <si>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</si>
  <si>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</si>
  <si>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</si>
  <si>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</si>
  <si>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</si>
  <si>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</si>
  <si>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</si>
  <si>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</si>
  <si>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</si>
  <si>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</si>
  <si>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</si>
  <si>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</si>
  <si>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</si>
  <si>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</si>
  <si>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</si>
  <si>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</si>
  <si>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</si>
  <si>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</si>
  <si>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</si>
  <si>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</si>
  <si>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</si>
  <si>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</si>
  <si>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</si>
  <si>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</si>
  <si>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</si>
  <si>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</si>
  <si>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</si>
  <si>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</si>
  <si>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</si>
  <si>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</si>
  <si>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</si>
  <si>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</si>
  <si>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</si>
  <si>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</si>
  <si>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</si>
  <si>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</si>
  <si>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</si>
  <si>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</si>
  <si>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</si>
  <si>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</si>
  <si>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</si>
  <si>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</si>
  <si>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</si>
  <si>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</si>
  <si>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</si>
  <si>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</si>
  <si>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</si>
  <si>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</si>
  <si>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</si>
  <si>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</si>
  <si>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</si>
  <si>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</si>
  <si>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</si>
  <si>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</si>
  <si>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</si>
  <si>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</si>
  <si>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</si>
  <si>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</si>
  <si>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</si>
  <si>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</si>
  <si>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</si>
  <si>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</si>
  <si>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</si>
  <si>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</si>
  <si>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</si>
  <si>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</si>
  <si>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</si>
  <si>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</si>
  <si>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</si>
  <si>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</si>
  <si>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</si>
  <si>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</si>
  <si>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</si>
  <si>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</si>
  <si>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</si>
  <si>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</si>
  <si>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</si>
  <si>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</si>
  <si>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</si>
  <si>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</si>
  <si>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</si>
  <si>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</si>
  <si>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</si>
  <si>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</si>
  <si>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</si>
  <si>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</si>
  <si>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</si>
  <si>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</si>
  <si>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</si>
  <si>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</si>
  <si>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</si>
  <si>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</si>
  <si>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</si>
  <si>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</si>
  <si>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</si>
  <si>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</si>
  <si>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</si>
  <si>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</si>
  <si>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</si>
  <si>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</si>
  <si>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</si>
  <si>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</si>
  <si>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</si>
  <si>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</si>
  <si>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</si>
  <si>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</si>
  <si>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</si>
  <si>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</si>
  <si>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</si>
  <si>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</si>
  <si>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</si>
  <si>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</si>
  <si>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</si>
  <si>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</si>
  <si>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</si>
  <si>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</si>
  <si>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</si>
  <si>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</si>
  <si>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</si>
  <si>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</si>
  <si>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</si>
  <si>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</si>
  <si>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</si>
  <si>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</si>
  <si>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</si>
  <si>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</si>
  <si>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</si>
  <si>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</si>
  <si>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</si>
  <si>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</si>
  <si>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</si>
  <si>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</si>
  <si>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</si>
  <si>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</si>
  <si>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</si>
  <si>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</si>
  <si>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</si>
  <si>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</si>
  <si>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</si>
  <si>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</si>
  <si>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</si>
  <si>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</si>
  <si>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</si>
  <si>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</si>
  <si>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</si>
  <si>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</si>
  <si>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</si>
  <si>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</si>
  <si>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</si>
  <si>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</si>
  <si>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</si>
  <si>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</si>
  <si>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</si>
  <si>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</si>
  <si>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</si>
  <si>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</si>
  <si>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</si>
  <si>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</si>
  <si>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</si>
  <si>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</si>
  <si>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</si>
  <si>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</si>
  <si>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</si>
  <si>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</si>
  <si>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</si>
  <si>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</si>
  <si>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</si>
  <si>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</si>
  <si>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</si>
  <si>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</si>
  <si>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</si>
  <si>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</si>
  <si>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</si>
  <si>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</si>
  <si>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</si>
  <si>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</si>
  <si>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</si>
  <si>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</si>
  <si>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</si>
  <si>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</si>
  <si>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</si>
  <si>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</si>
  <si>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</si>
  <si>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</si>
  <si>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</si>
  <si>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</si>
  <si>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</si>
  <si>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</si>
  <si>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</si>
  <si>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</si>
  <si>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</si>
  <si>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</si>
  <si>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</si>
  <si>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</si>
  <si>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</si>
  <si>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</si>
  <si>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</si>
  <si>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</si>
  <si>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</si>
  <si>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</si>
  <si>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</si>
  <si>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</si>
  <si>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</si>
  <si>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</si>
  <si>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</si>
  <si>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</si>
  <si>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</si>
  <si>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</si>
  <si>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</si>
  <si>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</si>
  <si>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</si>
  <si>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</si>
  <si>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</si>
  <si>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</si>
  <si>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</si>
  <si>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</si>
  <si>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</si>
  <si>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</si>
  <si>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</si>
  <si>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</si>
  <si>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</si>
  <si>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</si>
  <si>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</si>
  <si>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</si>
  <si>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</si>
  <si>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</si>
  <si>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</si>
  <si>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</si>
  <si>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</si>
  <si>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</si>
  <si>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</si>
  <si>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</si>
  <si>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</si>
  <si>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</si>
  <si>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</si>
  <si>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</si>
  <si>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</si>
  <si>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</si>
  <si>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</si>
  <si>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</si>
  <si>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</si>
  <si>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</si>
  <si>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</si>
  <si>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</si>
  <si>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</si>
  <si>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</si>
  <si>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</si>
  <si>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</si>
  <si>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</si>
  <si>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</si>
  <si>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</si>
  <si>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</si>
  <si>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</si>
  <si>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</si>
  <si>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</si>
  <si>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</si>
  <si>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</si>
  <si>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</si>
  <si>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</si>
  <si>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</si>
  <si>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</si>
  <si>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</si>
  <si>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</si>
  <si>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</si>
  <si>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</si>
  <si>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</si>
  <si>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</si>
  <si>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</si>
  <si>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</si>
  <si>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</si>
  <si>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</si>
  <si>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</si>
  <si>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</si>
  <si>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</si>
  <si>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</si>
  <si>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</si>
  <si>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</si>
  <si>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</si>
  <si>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</si>
  <si>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</si>
  <si>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</si>
  <si>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</si>
  <si>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</si>
  <si>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</si>
  <si>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</si>
  <si>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</si>
  <si>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</si>
  <si>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</si>
  <si>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</si>
  <si>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</si>
  <si>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</si>
  <si>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</si>
  <si>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</si>
  <si>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</si>
  <si>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</si>
  <si>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</si>
  <si>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</si>
  <si>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</si>
  <si>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</si>
  <si>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</si>
  <si>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</si>
  <si>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</si>
  <si>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</si>
  <si>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</si>
  <si>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</si>
  <si>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</si>
  <si>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</si>
  <si>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</si>
  <si>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</si>
  <si>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</si>
  <si>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</si>
  <si>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</si>
  <si>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</si>
  <si>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</si>
  <si>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</si>
  <si>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</si>
  <si>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</si>
  <si>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</si>
  <si>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</si>
  <si>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</si>
  <si>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</si>
  <si>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</si>
  <si>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</si>
  <si>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</si>
  <si>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</si>
  <si>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</si>
  <si>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</si>
  <si>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</si>
  <si>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</si>
  <si>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</si>
  <si>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</si>
  <si>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</si>
  <si>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</si>
  <si>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</si>
  <si>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</si>
  <si>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</si>
  <si>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</si>
  <si>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</si>
  <si>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</si>
  <si>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</si>
  <si>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</si>
  <si>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</si>
  <si>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</si>
  <si>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</si>
  <si>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</si>
  <si>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</si>
  <si>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</si>
  <si>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</si>
  <si>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</si>
  <si>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</si>
  <si>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</si>
  <si>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</si>
  <si>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</si>
  <si>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</si>
  <si>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</si>
  <si>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</si>
  <si>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</si>
  <si>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</si>
  <si>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</si>
  <si>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</si>
  <si>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</si>
  <si>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</si>
  <si>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</si>
  <si>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</si>
  <si>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</si>
  <si>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</si>
  <si>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</si>
  <si>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</si>
  <si>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</si>
  <si>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</si>
  <si>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</si>
  <si>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</si>
  <si>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</si>
  <si>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</si>
  <si>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</si>
  <si>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</si>
  <si>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</si>
  <si>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</si>
  <si>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</si>
  <si>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</si>
  <si>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</si>
  <si>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</si>
  <si>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</si>
  <si>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</si>
  <si>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</si>
  <si>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</si>
  <si>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</si>
  <si>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</si>
  <si>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</si>
  <si>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</si>
  <si>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</si>
  <si>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</si>
  <si>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</si>
  <si>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</si>
  <si>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</si>
  <si>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</si>
  <si>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</si>
  <si>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</si>
  <si>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</si>
  <si>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</si>
  <si>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</si>
  <si>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</si>
  <si>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</si>
  <si>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</si>
  <si>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</si>
  <si>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</si>
  <si>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</si>
  <si>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</si>
  <si>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</si>
  <si>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</si>
  <si>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</si>
  <si>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</si>
  <si>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</si>
  <si>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</si>
  <si>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</si>
  <si>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</si>
  <si>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</si>
  <si>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</si>
  <si>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</si>
  <si>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</si>
  <si>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</si>
  <si>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</si>
  <si>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</si>
  <si>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</si>
  <si>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</si>
  <si>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</si>
  <si>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</si>
  <si>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</si>
  <si>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</si>
  <si>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</si>
  <si>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</si>
  <si>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</si>
  <si>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</si>
  <si>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</si>
  <si>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</si>
  <si>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</si>
  <si>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</si>
  <si>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</si>
  <si>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</si>
  <si>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</si>
  <si>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</si>
  <si>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</si>
  <si>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</si>
  <si>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</si>
  <si>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</si>
  <si>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</si>
  <si>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</si>
  <si>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</si>
  <si>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</si>
  <si>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</si>
  <si>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</si>
  <si>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</si>
  <si>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</si>
  <si>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</si>
  <si>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</si>
  <si>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</si>
  <si>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</si>
  <si>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</si>
  <si>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</si>
  <si>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</si>
  <si>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</si>
  <si>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</si>
  <si>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</si>
  <si>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</si>
  <si>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</si>
  <si>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</si>
  <si>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</si>
  <si>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</si>
  <si>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</si>
  <si>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</si>
  <si>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</si>
  <si>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</si>
  <si>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</si>
  <si>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</si>
  <si>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</si>
  <si>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</si>
  <si>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</si>
  <si>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</si>
  <si>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</si>
  <si>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</si>
  <si>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</si>
  <si>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</si>
  <si>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</si>
  <si>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</si>
  <si>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</si>
  <si>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</si>
  <si>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</si>
  <si>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</si>
  <si>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</si>
  <si>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</si>
  <si>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</si>
  <si>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</si>
  <si>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</si>
  <si>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</si>
  <si>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</si>
  <si>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</si>
  <si>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</si>
  <si>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</si>
  <si>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</si>
  <si>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</si>
  <si>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</si>
  <si>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</si>
  <si>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</si>
  <si>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</si>
  <si>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</si>
  <si>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</si>
  <si>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</si>
  <si>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</si>
  <si>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</si>
  <si>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</si>
  <si>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</si>
  <si>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</si>
  <si>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</si>
  <si>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</si>
  <si>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</si>
  <si>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</si>
  <si>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</si>
  <si>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</si>
  <si>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</si>
  <si>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</si>
  <si>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</si>
  <si>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</si>
  <si>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</si>
  <si>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</si>
  <si>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</si>
  <si>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</si>
  <si>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</si>
  <si>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</si>
  <si>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</si>
  <si>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</si>
  <si>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</si>
  <si>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</si>
  <si>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</si>
  <si>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</si>
  <si>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</si>
  <si>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</si>
  <si>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</si>
  <si>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</si>
  <si>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</si>
  <si>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</si>
  <si>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</si>
  <si>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</si>
  <si>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</si>
  <si>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</si>
  <si>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</si>
  <si>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</si>
  <si>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</si>
  <si>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</si>
  <si>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</si>
  <si>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</si>
  <si>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</si>
  <si>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</si>
  <si>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</si>
  <si>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</si>
  <si>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</si>
  <si>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</si>
  <si>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</si>
  <si>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</si>
  <si>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</si>
  <si>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</si>
  <si>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</si>
  <si>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</si>
  <si>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</si>
  <si>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</si>
  <si>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</si>
  <si>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</si>
  <si>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</si>
  <si>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</si>
  <si>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</si>
  <si>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</si>
  <si>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</si>
  <si>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</si>
  <si>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</si>
  <si>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</si>
  <si>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</si>
  <si>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</si>
  <si>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</si>
  <si>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</si>
  <si>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</si>
  <si>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</si>
  <si>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</si>
  <si>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</si>
  <si>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</si>
  <si>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</si>
  <si>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</si>
  <si>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</si>
  <si>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</si>
  <si>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</si>
  <si>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</si>
  <si>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</si>
  <si>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</si>
  <si>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</si>
  <si>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</si>
  <si>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</si>
  <si>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</si>
  <si>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</si>
  <si>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</si>
  <si>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</si>
  <si>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</si>
  <si>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</si>
  <si>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</si>
  <si>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</si>
  <si>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</si>
  <si>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</si>
  <si>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</si>
  <si>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</si>
  <si>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</si>
  <si>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</si>
  <si>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</si>
  <si>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</si>
  <si>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</si>
  <si>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</si>
  <si>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</si>
  <si>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</si>
  <si>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</si>
  <si>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</si>
  <si>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</si>
  <si>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</si>
  <si>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</si>
  <si>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</si>
  <si>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</si>
  <si>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</si>
  <si>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</si>
  <si>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</si>
  <si>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</si>
  <si>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</si>
  <si>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</si>
  <si>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</si>
  <si>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</si>
  <si>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</si>
  <si>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</si>
  <si>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</si>
  <si>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</si>
  <si>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</si>
  <si>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</si>
  <si>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</si>
  <si>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</si>
  <si>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</si>
  <si>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</si>
  <si>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</si>
  <si>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</si>
  <si>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</si>
  <si>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</si>
  <si>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</si>
  <si>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</si>
  <si>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</si>
  <si>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</si>
  <si>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</si>
  <si>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</si>
  <si>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</si>
  <si>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</si>
  <si>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</si>
  <si>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</si>
  <si>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</si>
  <si>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</si>
  <si>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</si>
  <si>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</si>
  <si>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</si>
  <si>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</si>
  <si>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</si>
  <si>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</si>
  <si>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</si>
  <si>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</si>
  <si>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</si>
  <si>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</si>
  <si>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</si>
  <si>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</si>
  <si>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</si>
  <si>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</si>
  <si>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</si>
  <si>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</si>
  <si>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</si>
  <si>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</si>
  <si>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</si>
  <si>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</si>
  <si>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</si>
  <si>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</si>
  <si>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</si>
  <si>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</si>
  <si>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</si>
  <si>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</si>
  <si>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</si>
  <si>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</si>
  <si>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</si>
  <si>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</si>
  <si>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</si>
  <si>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</si>
  <si>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</si>
  <si>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</si>
  <si>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</si>
  <si>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</si>
  <si>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</si>
  <si>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</si>
  <si>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</si>
  <si>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</si>
  <si>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</si>
  <si>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</si>
  <si>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</si>
  <si>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</si>
  <si>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</si>
  <si>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</si>
  <si>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</si>
  <si>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</si>
  <si>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</si>
  <si>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</si>
  <si>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</si>
  <si>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</si>
  <si>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</si>
  <si>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</si>
  <si>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</si>
  <si>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</si>
  <si>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</si>
  <si>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</si>
  <si>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</si>
  <si>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</si>
  <si>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</si>
  <si>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</si>
  <si>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</si>
  <si>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</si>
  <si>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</si>
  <si>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</si>
  <si>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</si>
  <si>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</si>
  <si>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</si>
  <si>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</si>
  <si>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</si>
  <si>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</si>
  <si>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</si>
  <si>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</si>
  <si>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</si>
  <si>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</si>
  <si>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</si>
  <si>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</si>
  <si>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</si>
  <si>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</si>
  <si>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</si>
  <si>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</si>
  <si>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</si>
  <si>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</si>
  <si>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</si>
  <si>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</si>
  <si>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</si>
  <si>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</si>
  <si>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</si>
  <si>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</si>
  <si>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</si>
  <si>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</si>
  <si>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</si>
  <si>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</si>
  <si>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</si>
  <si>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</si>
  <si>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</si>
  <si>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</si>
  <si>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</si>
  <si>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</si>
  <si>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</si>
  <si>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</si>
  <si>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</si>
  <si>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</si>
  <si>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</si>
  <si>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</si>
  <si>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</si>
  <si>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</si>
  <si>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</si>
  <si>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</si>
  <si>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</si>
  <si>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</si>
  <si>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</si>
  <si>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</si>
  <si>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</si>
  <si>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</si>
  <si>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</si>
  <si>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</si>
  <si>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</si>
  <si>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</si>
  <si>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</si>
  <si>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</si>
  <si>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</si>
  <si>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</si>
  <si>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</si>
  <si>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</si>
  <si>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</si>
  <si>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</si>
  <si>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</si>
  <si>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</si>
  <si>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</si>
  <si>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</si>
  <si>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</si>
  <si>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</si>
  <si>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</si>
  <si>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</si>
  <si>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</si>
  <si>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</si>
  <si>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</si>
  <si>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</si>
  <si>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</si>
  <si>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</si>
  <si>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</si>
  <si>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</si>
  <si>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</si>
  <si>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</si>
  <si>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</si>
  <si>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</si>
  <si>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</si>
  <si>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</si>
  <si>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</si>
  <si>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</si>
  <si>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</si>
  <si>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</si>
  <si>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</si>
  <si>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</si>
  <si>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</si>
  <si>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</si>
  <si>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</si>
  <si>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</si>
  <si>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</si>
  <si>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</si>
  <si>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</si>
  <si>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</si>
  <si>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</si>
  <si>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</si>
  <si>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</si>
  <si>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</si>
  <si>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</si>
  <si>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</si>
  <si>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</si>
  <si>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</si>
  <si>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</si>
  <si>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</si>
  <si>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</si>
  <si>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</si>
  <si>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</si>
  <si>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</si>
  <si>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</si>
  <si>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</si>
  <si>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</si>
  <si>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</si>
  <si>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</si>
  <si>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</si>
  <si>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</si>
  <si>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</si>
  <si>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</si>
  <si>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</si>
  <si>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</si>
  <si>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</si>
  <si>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</si>
  <si>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</si>
  <si>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</si>
  <si>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</si>
  <si>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</si>
  <si>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</si>
  <si>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</si>
  <si>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</si>
  <si>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</si>
  <si>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</si>
  <si>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</si>
  <si>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</si>
  <si>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</si>
  <si>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</si>
  <si>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</si>
  <si>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</si>
  <si>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</si>
  <si>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</si>
  <si>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</si>
  <si>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</si>
  <si>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</si>
  <si>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</si>
  <si>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</si>
  <si>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</si>
  <si>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</si>
  <si>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</si>
  <si>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</si>
  <si>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</si>
  <si>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</si>
  <si>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</si>
  <si>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</si>
  <si>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</si>
  <si>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</si>
  <si>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</si>
  <si>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</si>
  <si>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</si>
  <si>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</si>
  <si>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</si>
  <si>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</si>
  <si>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</si>
  <si>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</si>
  <si>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</si>
  <si>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</si>
  <si>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</si>
  <si>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</si>
  <si>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</si>
  <si>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</si>
  <si>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</si>
  <si>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</si>
  <si>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</si>
  <si>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</si>
  <si>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</si>
  <si>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</si>
  <si>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</si>
  <si>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</si>
  <si>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</si>
  <si>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</si>
  <si>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</si>
  <si>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</si>
  <si>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</si>
  <si>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</si>
  <si>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</si>
  <si>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</si>
  <si>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</si>
  <si>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</si>
  <si>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</si>
  <si>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</si>
  <si>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</si>
  <si>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</si>
  <si>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</si>
  <si>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</si>
  <si>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</si>
  <si>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</si>
  <si>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</si>
  <si>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</si>
  <si>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</si>
  <si>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</si>
  <si>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</si>
  <si>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</si>
  <si>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</si>
  <si>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</si>
  <si>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</si>
  <si>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</si>
  <si>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</si>
  <si>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</si>
  <si>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</si>
  <si>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</si>
  <si>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</si>
  <si>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</si>
  <si>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</si>
  <si>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</si>
  <si>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</si>
  <si>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</si>
  <si>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</si>
  <si>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</si>
  <si>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</si>
  <si>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</si>
  <si>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</si>
  <si>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</si>
  <si>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</si>
  <si>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</si>
  <si>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</si>
  <si>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</si>
  <si>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</si>
  <si>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</si>
  <si>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</si>
  <si>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</si>
  <si>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</si>
  <si>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</si>
  <si>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</si>
  <si>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</si>
  <si>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</si>
  <si>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</si>
  <si>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</si>
  <si>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</si>
  <si>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</si>
  <si>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</si>
  <si>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</si>
  <si>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</si>
  <si>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</si>
  <si>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</si>
  <si>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</si>
  <si>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</si>
  <si>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</si>
  <si>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</si>
  <si>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</si>
  <si>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</si>
  <si>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</si>
  <si>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</si>
  <si>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</si>
  <si>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</si>
  <si>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</si>
  <si>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</si>
  <si>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</si>
  <si>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</si>
  <si>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</si>
  <si>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</si>
  <si>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</si>
  <si>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</si>
  <si>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</si>
  <si>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</si>
  <si>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</si>
  <si>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</si>
  <si>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</si>
  <si>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</si>
  <si>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</si>
  <si>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</si>
  <si>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</si>
  <si>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</si>
  <si>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</si>
  <si>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</si>
  <si>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</si>
  <si>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</si>
  <si>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</si>
  <si>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</si>
  <si>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</si>
  <si>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</si>
  <si>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</si>
  <si>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</si>
  <si>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</si>
  <si>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</si>
  <si>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</si>
  <si>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</si>
  <si>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</si>
  <si>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</si>
  <si>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</si>
  <si>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</si>
  <si>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</si>
  <si>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</si>
  <si>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</si>
  <si>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</si>
  <si>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</si>
  <si>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</si>
  <si>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</si>
  <si>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</si>
  <si>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</si>
  <si>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</si>
  <si>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</si>
  <si>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</si>
  <si>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</si>
  <si>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</si>
  <si>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</si>
  <si>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</si>
  <si>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</si>
  <si>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</si>
  <si>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</si>
  <si>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</si>
  <si>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</si>
  <si>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</si>
  <si>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</si>
  <si>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</si>
  <si>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</si>
  <si>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</si>
  <si>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</si>
  <si>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</si>
  <si>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</si>
  <si>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</si>
  <si>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</si>
  <si>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</si>
  <si>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</si>
  <si>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</si>
  <si>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</si>
  <si>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</si>
  <si>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</si>
  <si>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</si>
  <si>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</si>
  <si>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</si>
  <si>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</si>
  <si>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</si>
  <si>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</si>
  <si>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</si>
  <si>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</si>
  <si>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</si>
  <si>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</si>
  <si>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</si>
  <si>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</si>
  <si>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</si>
  <si>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</si>
  <si>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</si>
  <si>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</si>
  <si>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</si>
  <si>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</si>
  <si>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</si>
  <si>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</si>
  <si>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</si>
  <si>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</si>
  <si>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</si>
  <si>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</si>
  <si>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</si>
  <si>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</si>
  <si>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</si>
  <si>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</si>
  <si>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</si>
  <si>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</si>
  <si>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</si>
  <si>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</si>
  <si>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</si>
  <si>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</si>
  <si>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</si>
  <si>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</si>
  <si>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</si>
  <si>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</si>
  <si>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</si>
  <si>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</si>
  <si>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</si>
  <si>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</si>
  <si>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</si>
  <si>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</si>
  <si>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</si>
  <si>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</si>
  <si>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</si>
  <si>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</si>
  <si>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</si>
  <si>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</si>
  <si>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</si>
  <si>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</si>
  <si>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</si>
  <si>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</si>
  <si>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</si>
  <si>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</si>
  <si>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</si>
  <si>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</si>
  <si>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</si>
  <si>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</si>
  <si>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</si>
  <si>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</si>
  <si>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</si>
  <si>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</si>
  <si>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</si>
  <si>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</si>
  <si>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</si>
  <si>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</si>
  <si>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</si>
  <si>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</si>
  <si>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</si>
  <si>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</si>
  <si>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</si>
  <si>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</si>
  <si>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</si>
  <si>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</si>
  <si>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</si>
  <si>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</si>
  <si>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</si>
  <si>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</si>
  <si>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</si>
  <si>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</si>
  <si>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</si>
  <si>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</si>
  <si>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</si>
  <si>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</si>
  <si>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</si>
  <si>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</si>
  <si>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</si>
  <si>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</si>
  <si>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</si>
  <si>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</si>
  <si>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</si>
  <si>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</si>
  <si>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</si>
  <si>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</si>
  <si>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</si>
  <si>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</si>
  <si>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</si>
  <si>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</si>
  <si>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</si>
  <si>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</si>
  <si>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</si>
  <si>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</si>
  <si>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</si>
  <si>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</si>
  <si>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</si>
  <si>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</si>
  <si>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</si>
  <si>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</si>
  <si>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</si>
  <si>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</si>
  <si>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</si>
  <si>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</si>
  <si>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</si>
  <si>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</si>
  <si>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</si>
  <si>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</si>
  <si>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</si>
  <si>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</si>
  <si>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</si>
  <si>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</si>
  <si>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</si>
  <si>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</si>
  <si>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</si>
  <si>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</si>
  <si>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</si>
  <si>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</si>
  <si>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</si>
  <si>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</si>
  <si>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</si>
  <si>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</si>
  <si>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</si>
  <si>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</si>
  <si>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</si>
  <si>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</si>
  <si>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</si>
  <si>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</si>
  <si>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</si>
  <si>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</si>
  <si>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</si>
  <si>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</si>
  <si>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</si>
  <si>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</si>
  <si>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</si>
  <si>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</si>
  <si>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</si>
  <si>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</si>
  <si>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</si>
  <si>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</si>
  <si>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</si>
  <si>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</si>
  <si>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</si>
  <si>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</si>
  <si>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</si>
  <si>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</si>
  <si>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</si>
  <si>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</si>
  <si>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</si>
  <si>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</si>
  <si>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</si>
  <si>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</si>
  <si>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</si>
  <si>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</si>
  <si>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</si>
  <si>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</si>
  <si>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</si>
  <si>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</si>
  <si>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</si>
  <si>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</si>
  <si>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</si>
  <si>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</si>
  <si>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</si>
  <si>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</si>
  <si>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</si>
  <si>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</si>
  <si>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</si>
  <si>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</si>
  <si>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</si>
  <si>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</si>
  <si>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</si>
  <si>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</si>
  <si>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</si>
  <si>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</si>
  <si>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</si>
  <si>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</si>
  <si>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</si>
  <si>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</si>
  <si>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</si>
  <si>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</si>
  <si>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</si>
  <si>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</si>
  <si>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</si>
  <si>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</si>
  <si>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</si>
  <si>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</si>
  <si>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</si>
  <si>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</si>
  <si>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</si>
  <si>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</si>
  <si>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</si>
  <si>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</si>
  <si>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</si>
  <si>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</si>
  <si>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</si>
  <si>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</si>
  <si>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</si>
  <si>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</si>
  <si>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</si>
  <si>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</si>
  <si>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</si>
  <si>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</si>
  <si>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</si>
  <si>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</si>
  <si>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</si>
  <si>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</si>
  <si>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</si>
  <si>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</si>
  <si>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</si>
  <si>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</si>
  <si>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</si>
  <si>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</si>
  <si>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</si>
  <si>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</si>
  <si>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</si>
  <si>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</si>
  <si>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</si>
  <si>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</si>
  <si>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</si>
  <si>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</si>
  <si>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</si>
  <si>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</si>
  <si>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</si>
  <si>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</si>
  <si>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</si>
  <si>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</si>
  <si>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</si>
  <si>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</si>
  <si>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</si>
  <si>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</si>
  <si>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</si>
  <si>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</si>
  <si>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</si>
  <si>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</si>
  <si>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</si>
  <si>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</si>
  <si>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</si>
  <si>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</si>
  <si>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</si>
  <si>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</si>
  <si>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</si>
  <si>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</si>
  <si>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</si>
  <si>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</si>
  <si>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</si>
  <si>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</si>
  <si>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</si>
  <si>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</si>
  <si>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</si>
  <si>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</si>
  <si>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</si>
  <si>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</si>
  <si>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</si>
  <si>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</si>
  <si>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</si>
  <si>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</si>
  <si>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</si>
  <si>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</si>
  <si>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</si>
  <si>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</si>
  <si>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</si>
  <si>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</si>
  <si>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</si>
  <si>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</si>
  <si>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</si>
  <si>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</si>
  <si>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</si>
  <si>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</si>
  <si>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</si>
  <si>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</si>
  <si>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</si>
  <si>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</si>
  <si>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</si>
  <si>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</si>
  <si>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</si>
  <si>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</si>
  <si>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</si>
  <si>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</si>
  <si>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</si>
  <si>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</si>
  <si>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</si>
  <si>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</si>
  <si>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</si>
  <si>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</si>
  <si>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</si>
  <si>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</si>
  <si>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</si>
  <si>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</si>
  <si>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</si>
  <si>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</si>
  <si>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</si>
  <si>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</si>
  <si>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</si>
  <si>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</si>
  <si>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</si>
  <si>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</si>
  <si>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</si>
  <si>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</si>
  <si>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</si>
  <si>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</si>
  <si>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</si>
  <si>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</si>
  <si>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</si>
  <si>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</si>
  <si>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</si>
  <si>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</si>
  <si>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</si>
  <si>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</si>
  <si>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</si>
  <si>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</si>
  <si>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</si>
  <si>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</si>
  <si>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</si>
  <si>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</si>
  <si>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</si>
  <si>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</si>
  <si>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</si>
  <si>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</si>
  <si>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</si>
  <si>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</si>
  <si>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</si>
  <si>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</si>
  <si>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</si>
  <si>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</si>
  <si>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</si>
  <si>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</si>
  <si>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</si>
  <si>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</si>
  <si>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</si>
  <si>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</si>
  <si>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</si>
  <si>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</si>
  <si>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</si>
  <si>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</si>
  <si>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</si>
  <si>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</si>
  <si>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</si>
  <si>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</si>
  <si>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</si>
  <si>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</si>
  <si>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</si>
  <si>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</si>
  <si>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</si>
  <si>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</si>
  <si>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</si>
  <si>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</si>
  <si>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</si>
  <si>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</si>
  <si>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</si>
  <si>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</si>
  <si>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</si>
  <si>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</si>
  <si>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</si>
  <si>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</si>
  <si>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</si>
  <si>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</si>
  <si>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</si>
  <si>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</si>
  <si>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</si>
  <si>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</si>
  <si>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</si>
  <si>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</si>
  <si>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</si>
  <si>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</si>
  <si>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</si>
  <si>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</si>
  <si>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</si>
  <si>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</si>
  <si>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</si>
  <si>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</si>
  <si>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</si>
  <si>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</si>
  <si>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</si>
  <si>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</si>
  <si>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</si>
  <si>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</si>
  <si>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</si>
  <si>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</si>
  <si>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</si>
  <si>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</si>
  <si>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</si>
  <si>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</si>
  <si>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</si>
  <si>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</si>
  <si>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</si>
  <si>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</si>
  <si>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</si>
  <si>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</si>
  <si>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</si>
  <si>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</si>
  <si>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</si>
  <si>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</si>
  <si>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</si>
  <si>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</si>
  <si>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</si>
  <si>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</si>
  <si>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</si>
  <si>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</si>
  <si>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</si>
  <si>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</si>
  <si>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</si>
  <si>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</si>
  <si>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</si>
  <si>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</si>
  <si>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</si>
  <si>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</si>
  <si>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</si>
  <si>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</si>
  <si>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</si>
  <si>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</si>
  <si>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</si>
  <si>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</si>
  <si>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</si>
  <si>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</si>
  <si>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</si>
  <si>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</si>
  <si>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</si>
  <si>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</si>
  <si>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</si>
  <si>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</si>
  <si>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</si>
  <si>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</si>
  <si>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</si>
  <si>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</si>
  <si>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</si>
  <si>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</si>
  <si>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</si>
  <si>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</si>
  <si>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</si>
  <si>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</si>
  <si>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</si>
  <si>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</si>
  <si>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</si>
  <si>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</si>
  <si>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</si>
  <si>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</si>
  <si>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</si>
  <si>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</si>
  <si>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</si>
  <si>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</si>
  <si>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</si>
  <si>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</si>
  <si>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</si>
  <si>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</si>
  <si>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</si>
  <si>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</si>
  <si>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</si>
  <si>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</si>
  <si>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</si>
  <si>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</si>
  <si>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</si>
  <si>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</si>
  <si>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</si>
  <si>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</si>
  <si>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</si>
  <si>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</si>
  <si>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</si>
  <si>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</si>
  <si>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</si>
  <si>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</si>
  <si>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</si>
  <si>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</si>
  <si>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</si>
  <si>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</si>
  <si>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</si>
  <si>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</si>
  <si>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</si>
  <si>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</si>
  <si>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</si>
  <si>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</si>
  <si>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</si>
  <si>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</si>
  <si>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</si>
  <si>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</si>
  <si>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</si>
  <si>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</si>
  <si>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</si>
  <si>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</si>
  <si>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</si>
  <si>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</si>
  <si>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</si>
  <si>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</si>
  <si>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</si>
  <si>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</si>
  <si>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</si>
  <si>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</si>
  <si>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</si>
  <si>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</si>
  <si>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</si>
  <si>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</si>
  <si>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</si>
  <si>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</si>
  <si>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</si>
  <si>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</si>
  <si>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</si>
  <si>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</si>
  <si>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</si>
  <si>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</si>
  <si>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</si>
  <si>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</si>
  <si>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</si>
  <si>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</si>
  <si>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</si>
  <si>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</si>
  <si>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</si>
  <si>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</si>
  <si>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</si>
  <si>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</si>
  <si>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</si>
  <si>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</si>
  <si>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</si>
  <si>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</si>
  <si>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</si>
  <si>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</si>
  <si>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</si>
  <si>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</si>
  <si>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</si>
  <si>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</si>
  <si>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</si>
  <si>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</si>
  <si>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</si>
  <si>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</si>
  <si>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</si>
  <si>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</si>
  <si>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</si>
  <si>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</si>
  <si>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</si>
  <si>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</si>
  <si>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</si>
  <si>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</si>
  <si>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</si>
  <si>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</si>
  <si>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</si>
  <si>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</si>
  <si>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</si>
  <si>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</si>
  <si>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</si>
  <si>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</si>
  <si>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</si>
  <si>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</si>
  <si>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</si>
  <si>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</si>
  <si>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</si>
  <si>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</si>
  <si>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</si>
  <si>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</si>
  <si>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</si>
  <si>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</si>
  <si>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</si>
  <si>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</si>
  <si>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</si>
  <si>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</si>
  <si>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</si>
  <si>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</si>
  <si>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</si>
  <si>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</si>
  <si>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</si>
  <si>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</si>
  <si>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</si>
  <si>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</si>
  <si>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</si>
  <si>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</si>
  <si>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</si>
  <si>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</si>
  <si>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</si>
  <si>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</si>
  <si>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</si>
  <si>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</si>
  <si>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</si>
  <si>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</si>
  <si>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</si>
  <si>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</si>
  <si>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</si>
  <si>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</si>
  <si>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</si>
  <si>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</si>
  <si>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</si>
  <si>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</si>
  <si>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</si>
  <si>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</si>
  <si>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</si>
  <si>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</si>
  <si>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</si>
  <si>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</si>
  <si>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</si>
  <si>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</si>
  <si>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</si>
  <si>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</si>
  <si>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</si>
  <si>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</si>
  <si>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</si>
  <si>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</si>
  <si>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</si>
  <si>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</si>
  <si>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</si>
  <si>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</si>
  <si>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</si>
  <si>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</si>
  <si>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</si>
  <si>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</si>
  <si>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</si>
  <si>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</si>
  <si>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</si>
  <si>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</si>
  <si>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</si>
  <si>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</si>
  <si>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</si>
  <si>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</si>
  <si>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</si>
  <si>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</si>
  <si>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</si>
  <si>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</si>
  <si>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</si>
  <si>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</si>
  <si>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</si>
  <si>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</si>
  <si>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</si>
  <si>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</si>
  <si>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</si>
  <si>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</si>
  <si>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</si>
  <si>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</si>
  <si>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</si>
  <si>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</si>
  <si>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</si>
  <si>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</si>
  <si>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</si>
  <si>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</si>
  <si>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</si>
  <si>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</si>
  <si>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</si>
  <si>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</si>
  <si>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</si>
  <si>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</si>
  <si>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</si>
  <si>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</si>
  <si>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</si>
  <si>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</si>
  <si>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</si>
  <si>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</si>
  <si>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</si>
  <si>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</si>
  <si>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</si>
  <si>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</si>
  <si>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</si>
  <si>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</si>
  <si>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</si>
  <si>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</si>
  <si>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</si>
  <si>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</si>
  <si>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</si>
  <si>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</si>
  <si>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</si>
  <si>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</si>
  <si>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</si>
  <si>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</si>
  <si>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</si>
  <si>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</si>
  <si>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</si>
  <si>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</si>
  <si>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</si>
  <si>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</si>
  <si>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</si>
  <si>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</si>
  <si>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</si>
  <si>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</si>
  <si>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</si>
  <si>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</si>
  <si>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</si>
  <si>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</si>
  <si>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</si>
  <si>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</si>
  <si>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</si>
  <si>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</si>
  <si>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</si>
  <si>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</si>
  <si>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</si>
  <si>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</si>
  <si>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</si>
  <si>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</si>
  <si>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</si>
  <si>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</si>
  <si>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</si>
  <si>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</si>
  <si>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</si>
  <si>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</si>
  <si>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</si>
  <si>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</si>
  <si>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</si>
  <si>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</si>
  <si>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</si>
  <si>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</si>
  <si>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</si>
  <si>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</si>
  <si>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</si>
  <si>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</si>
  <si>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</si>
  <si>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</si>
  <si>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</si>
  <si>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</si>
  <si>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</si>
  <si>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</si>
  <si>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</si>
  <si>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</si>
  <si>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</si>
  <si>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</si>
  <si>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</si>
  <si>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</si>
  <si>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</si>
  <si>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</si>
  <si>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</si>
  <si>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</si>
  <si>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</si>
  <si>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</si>
  <si>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</si>
  <si>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</si>
  <si>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</si>
  <si>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</si>
  <si>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</si>
  <si>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</si>
  <si>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</si>
  <si>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</si>
  <si>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</si>
  <si>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</si>
  <si>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</si>
  <si>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</si>
  <si>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</si>
  <si>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</si>
  <si>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</si>
  <si>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</si>
  <si>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</si>
  <si>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</si>
  <si>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</si>
  <si>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</si>
  <si>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</si>
  <si>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</si>
  <si>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</si>
  <si>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</si>
  <si>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</si>
  <si>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</si>
  <si>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</si>
  <si>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</si>
  <si>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</si>
  <si>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</si>
  <si>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</si>
  <si>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</si>
  <si>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</si>
  <si>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</si>
  <si>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</si>
  <si>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</si>
  <si>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</si>
  <si>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</si>
  <si>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</si>
  <si>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</si>
  <si>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</si>
  <si>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</si>
  <si>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</si>
  <si>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</si>
  <si>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</si>
  <si>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</si>
  <si>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</si>
  <si>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</si>
  <si>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</si>
  <si>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</si>
  <si>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</si>
  <si>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</si>
  <si>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</si>
  <si>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</si>
  <si>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</si>
  <si>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</si>
  <si>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</si>
  <si>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</si>
  <si>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</si>
  <si>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</si>
  <si>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</si>
  <si>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</si>
  <si>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</si>
  <si>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</si>
  <si>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</si>
  <si>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</si>
  <si>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</si>
  <si>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</si>
  <si>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</si>
  <si>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</si>
  <si>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</si>
  <si>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</si>
  <si>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</si>
  <si>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</si>
  <si>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</si>
  <si>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</si>
  <si>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</si>
  <si>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</si>
  <si>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</si>
  <si>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</si>
  <si>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</si>
  <si>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</si>
  <si>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</si>
  <si>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</si>
  <si>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</si>
  <si>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</si>
  <si>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</si>
  <si>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</si>
  <si>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</si>
  <si>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</si>
  <si>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</si>
  <si>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</si>
  <si>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</si>
  <si>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</si>
  <si>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</si>
  <si>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</si>
  <si>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</si>
  <si>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</si>
  <si>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</si>
  <si>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</si>
  <si>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</si>
  <si>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</si>
  <si>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</si>
  <si>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</si>
  <si>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</si>
  <si>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</si>
  <si>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</si>
  <si>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</si>
  <si>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</si>
  <si>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</si>
  <si>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</si>
  <si>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</si>
  <si>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</si>
  <si>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</si>
  <si>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</si>
  <si>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</si>
  <si>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</si>
  <si>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</si>
  <si>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</si>
  <si>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</si>
  <si>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</si>
  <si>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</si>
  <si>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</si>
  <si>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</si>
  <si>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</si>
  <si>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</si>
  <si>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</si>
  <si>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</si>
  <si>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</si>
  <si>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</si>
  <si>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</si>
  <si>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</si>
  <si>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</si>
  <si>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</si>
  <si>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</si>
  <si>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</si>
  <si>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</si>
  <si>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</si>
  <si>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</si>
  <si>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</si>
  <si>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</si>
  <si>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</si>
  <si>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</si>
  <si>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</si>
  <si>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</si>
  <si>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</si>
  <si>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</si>
  <si>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</si>
  <si>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</si>
  <si>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</si>
  <si>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</si>
  <si>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</si>
  <si>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</si>
  <si>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</si>
  <si>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</si>
  <si>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</si>
  <si>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</si>
  <si>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</si>
  <si>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</si>
  <si>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</si>
  <si>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</si>
  <si>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</si>
  <si>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</si>
  <si>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</si>
  <si>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</si>
  <si>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</si>
  <si>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</si>
  <si>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</si>
  <si>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</si>
  <si>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</si>
  <si>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</si>
  <si>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</si>
  <si>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</si>
  <si>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</si>
  <si>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</si>
  <si>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</si>
  <si>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</si>
  <si>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</si>
  <si>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</si>
  <si>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</si>
  <si>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</si>
  <si>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</si>
  <si>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</si>
  <si>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</si>
  <si>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</si>
  <si>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</si>
  <si>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</si>
  <si>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</si>
  <si>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</si>
  <si>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</si>
  <si>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</si>
  <si>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</si>
  <si>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</si>
  <si>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</si>
  <si>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</si>
  <si>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</si>
  <si>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</si>
  <si>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</si>
  <si>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</si>
  <si>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</si>
  <si>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</si>
  <si>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</si>
  <si>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</si>
  <si>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</si>
  <si>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</si>
  <si>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</si>
  <si>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</si>
  <si>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</si>
  <si>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</si>
  <si>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</si>
  <si>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</si>
  <si>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</si>
  <si>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</si>
  <si>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</si>
  <si>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</si>
  <si>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</si>
  <si>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</si>
  <si>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</si>
  <si>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</si>
  <si>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</si>
  <si>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</si>
  <si>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</si>
  <si>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</si>
  <si>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</si>
  <si>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</si>
  <si>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</si>
  <si>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</si>
  <si>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</si>
  <si>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</si>
  <si>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</si>
  <si>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</si>
  <si>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</si>
  <si>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</si>
  <si>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</si>
  <si>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</si>
  <si>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</si>
  <si>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</si>
  <si>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</si>
  <si>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</si>
  <si>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</si>
  <si>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</si>
  <si>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</si>
  <si>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</si>
  <si>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</si>
  <si>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</si>
  <si>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</si>
  <si>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</si>
  <si>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</si>
  <si>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</si>
  <si>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</si>
  <si>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</si>
  <si>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</si>
  <si>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</si>
  <si>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</si>
  <si>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</si>
  <si>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</si>
  <si>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</si>
  <si>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</si>
  <si>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</si>
  <si>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</si>
  <si>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</si>
  <si>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</si>
  <si>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</si>
  <si>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</si>
  <si>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</si>
  <si>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</si>
  <si>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</si>
  <si>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</si>
  <si>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</si>
  <si>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</si>
  <si>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</si>
  <si>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</si>
  <si>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</si>
  <si>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</si>
  <si>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</si>
  <si>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</si>
  <si>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</si>
  <si>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</si>
  <si>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</si>
  <si>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</si>
  <si>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</si>
  <si>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</si>
  <si>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</si>
  <si>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</si>
  <si>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</si>
  <si>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</si>
  <si>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</si>
  <si>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</si>
  <si>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</si>
  <si>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</si>
  <si>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</si>
  <si>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</si>
  <si>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</si>
  <si>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</si>
  <si>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</si>
  <si>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</si>
  <si>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</si>
  <si>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</si>
  <si>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</si>
  <si>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</si>
  <si>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</si>
  <si>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</si>
  <si>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</si>
  <si>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</si>
  <si>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</si>
  <si>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</si>
  <si>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</si>
  <si>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</si>
  <si>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</si>
  <si>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</si>
  <si>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</si>
  <si>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</si>
  <si>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</si>
  <si>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</si>
  <si>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</si>
  <si>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</si>
  <si>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</si>
  <si>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</si>
  <si>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</si>
  <si>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</si>
  <si>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</si>
  <si>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</si>
  <si>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</si>
  <si>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</si>
  <si>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</si>
  <si>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</si>
  <si>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</si>
  <si>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</si>
  <si>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</si>
  <si>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</si>
  <si>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</si>
  <si>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</si>
  <si>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</si>
  <si>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</si>
  <si>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</si>
  <si>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</si>
  <si>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</si>
  <si>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</si>
  <si>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</si>
  <si>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</si>
  <si>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</si>
  <si>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</si>
  <si>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</si>
  <si>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</si>
  <si>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</si>
  <si>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</si>
  <si>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</si>
  <si>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</si>
  <si>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</si>
  <si>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</si>
  <si>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</si>
  <si>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</si>
  <si>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</si>
  <si>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</si>
  <si>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</si>
  <si>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</si>
  <si>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</si>
  <si>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</si>
  <si>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</si>
  <si>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</si>
  <si>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</si>
  <si>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</si>
  <si>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</si>
  <si>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</si>
  <si>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</si>
  <si>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</si>
  <si>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</si>
  <si>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</si>
  <si>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</si>
  <si>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</si>
  <si>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</si>
  <si>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</si>
  <si>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</si>
  <si>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</si>
  <si>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</si>
  <si>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</si>
  <si>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</si>
  <si>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</si>
  <si>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</si>
  <si>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</si>
  <si>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</si>
  <si>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</si>
  <si>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</si>
  <si>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</si>
  <si>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</si>
  <si>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</si>
  <si>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</si>
  <si>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</si>
  <si>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</si>
  <si>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</si>
  <si>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</si>
  <si>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</si>
  <si>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</si>
  <si>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</si>
  <si>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</si>
  <si>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</si>
  <si>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</si>
  <si>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</si>
  <si>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</si>
  <si>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</si>
  <si>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</si>
  <si>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</si>
  <si>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</si>
  <si>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</si>
  <si>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</si>
  <si>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</si>
  <si>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</si>
  <si>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</si>
  <si>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</si>
  <si>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</si>
  <si>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</si>
  <si>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</si>
  <si>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</si>
  <si>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</si>
  <si>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</si>
  <si>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</si>
  <si>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</si>
  <si>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</si>
  <si>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</si>
  <si>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</si>
  <si>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</si>
  <si>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</si>
  <si>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</si>
  <si>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</si>
  <si>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</si>
  <si>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</si>
  <si>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</si>
  <si>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</si>
  <si>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</si>
  <si>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</si>
  <si>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</si>
  <si>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</si>
  <si>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</si>
  <si>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</si>
  <si>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</si>
  <si>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</si>
  <si>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</si>
  <si>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</si>
  <si>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</si>
  <si>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</si>
  <si>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</si>
  <si>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</si>
  <si>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</si>
  <si>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</si>
  <si>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</si>
  <si>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</si>
  <si>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</si>
  <si>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</si>
  <si>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</si>
  <si>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</si>
  <si>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</si>
  <si>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</si>
  <si>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</si>
  <si>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</si>
  <si>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</si>
  <si>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</si>
  <si>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</si>
  <si>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</si>
  <si>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</si>
  <si>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</si>
  <si>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</si>
  <si>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</si>
  <si>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</si>
  <si>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</si>
  <si>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</si>
  <si>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</si>
  <si>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</si>
  <si>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</si>
  <si>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</si>
  <si>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</si>
  <si>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</si>
  <si>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</si>
  <si>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</si>
  <si>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</si>
  <si>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</si>
  <si>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</si>
  <si>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</si>
  <si>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</si>
  <si>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</si>
  <si>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</si>
  <si>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</si>
  <si>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</si>
  <si>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</si>
  <si>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</si>
  <si>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</si>
  <si>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</si>
  <si>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</si>
  <si>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</si>
  <si>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</si>
  <si>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</si>
  <si>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</si>
  <si>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</si>
  <si>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</si>
  <si>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</si>
  <si>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</si>
  <si>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</si>
  <si>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</si>
  <si>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</si>
  <si>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</si>
  <si>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</si>
  <si>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</si>
  <si>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</si>
  <si>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</si>
  <si>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</si>
  <si>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</si>
  <si>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</si>
  <si>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</si>
  <si>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</si>
  <si>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</si>
  <si>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</si>
  <si>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</si>
  <si>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</si>
  <si>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</si>
  <si>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</si>
  <si>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</si>
  <si>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</si>
  <si>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</si>
  <si>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</si>
  <si>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</si>
  <si>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</si>
  <si>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</si>
  <si>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</si>
  <si>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</si>
  <si>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</si>
  <si>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</si>
  <si>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</si>
  <si>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</si>
  <si>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</si>
  <si>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</si>
  <si>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</si>
  <si>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</si>
  <si>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</si>
  <si>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</si>
  <si>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</si>
  <si>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</si>
  <si>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</si>
  <si>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</si>
  <si>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</si>
  <si>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</si>
  <si>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</si>
  <si>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</si>
  <si>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</si>
  <si>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</si>
  <si>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</si>
  <si>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</si>
  <si>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</si>
  <si>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</si>
  <si>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</si>
  <si>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</si>
  <si>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</si>
  <si>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</si>
  <si>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</si>
  <si>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</si>
  <si>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</si>
  <si>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</si>
  <si>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</si>
  <si>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</si>
  <si>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</si>
  <si>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</si>
  <si>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</si>
  <si>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</si>
  <si>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</si>
  <si>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</si>
  <si>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</si>
  <si>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</si>
  <si>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</si>
  <si>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</si>
  <si>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</si>
  <si>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</si>
  <si>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</si>
  <si>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</si>
  <si>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</si>
  <si>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</si>
  <si>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</si>
  <si>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</si>
  <si>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</si>
  <si>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</si>
  <si>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</si>
  <si>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</si>
  <si>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</si>
  <si>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</si>
  <si>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</si>
  <si>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</si>
  <si>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</si>
  <si>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</si>
  <si>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</si>
  <si>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</si>
  <si>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</si>
  <si>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</si>
  <si>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</si>
  <si>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</si>
  <si>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</si>
  <si>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</si>
  <si>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</si>
  <si>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</si>
  <si>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</si>
  <si>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</si>
  <si>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</si>
  <si>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</si>
  <si>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</si>
  <si>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</si>
  <si>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</si>
  <si>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</si>
  <si>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</si>
  <si>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</si>
  <si>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</si>
  <si>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</si>
  <si>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</si>
  <si>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</si>
  <si>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</si>
  <si>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</si>
  <si>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</si>
  <si>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</si>
  <si>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</si>
  <si>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</si>
  <si>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</si>
  <si>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</si>
  <si>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</si>
  <si>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</si>
  <si>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</si>
  <si>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</si>
  <si>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</si>
  <si>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</si>
  <si>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</si>
  <si>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</si>
  <si>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</si>
  <si>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</si>
  <si>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</si>
  <si>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</si>
  <si>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</si>
  <si>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</si>
  <si>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</si>
  <si>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</si>
  <si>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</si>
  <si>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</si>
  <si>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</si>
  <si>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</si>
  <si>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</si>
  <si>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</si>
  <si>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</si>
  <si>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</si>
  <si>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</si>
  <si>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</si>
  <si>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</si>
  <si>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</si>
  <si>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</si>
  <si>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</si>
  <si>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</si>
  <si>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</si>
  <si>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</si>
  <si>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</si>
  <si>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</si>
  <si>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</si>
  <si>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</si>
  <si>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</si>
  <si>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</si>
  <si>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</si>
  <si>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</si>
  <si>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</si>
  <si>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</si>
  <si>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</si>
  <si>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</si>
  <si>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</si>
  <si>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</si>
  <si>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</si>
  <si>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</si>
  <si>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</si>
  <si>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</si>
  <si>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</si>
  <si>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</si>
  <si>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</si>
  <si>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</si>
  <si>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</si>
  <si>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</si>
  <si>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</si>
  <si>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</si>
  <si>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</si>
  <si>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</si>
  <si>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</si>
  <si>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</si>
  <si>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</si>
  <si>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</si>
  <si>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</si>
  <si>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</si>
  <si>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</si>
  <si>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</si>
  <si>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</si>
  <si>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</si>
  <si>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</si>
  <si>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</si>
  <si>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</si>
  <si>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</si>
  <si>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</si>
  <si>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</si>
  <si>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</si>
  <si>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</si>
  <si>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</si>
  <si>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</si>
  <si>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</si>
  <si>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</si>
  <si>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</si>
  <si>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</si>
  <si>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</si>
  <si>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</si>
  <si>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</si>
  <si>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</si>
  <si>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</si>
  <si>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</si>
  <si>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</si>
  <si>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</si>
  <si>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</si>
  <si>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</si>
  <si>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</si>
  <si>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</si>
  <si>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</si>
  <si>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</si>
  <si>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</si>
  <si>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</si>
  <si>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</si>
  <si>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</si>
  <si>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</si>
  <si>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</si>
  <si>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</si>
  <si>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</si>
  <si>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</si>
  <si>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</si>
  <si>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</si>
  <si>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</si>
  <si>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</si>
  <si>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</si>
  <si>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</si>
  <si>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</si>
  <si>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</si>
  <si>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</si>
  <si>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</si>
  <si>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</si>
  <si>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</si>
  <si>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</si>
  <si>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</si>
  <si>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</si>
  <si>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</si>
  <si>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</si>
  <si>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</si>
  <si>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</si>
  <si>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</si>
  <si>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</si>
  <si>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</si>
  <si>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</si>
  <si>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</si>
  <si>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</si>
  <si>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</si>
  <si>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</si>
  <si>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</si>
  <si>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</si>
  <si>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</si>
  <si>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</si>
  <si>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</si>
  <si>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</si>
  <si>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</si>
  <si>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</si>
  <si>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</si>
  <si>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</si>
  <si>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</si>
  <si>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</si>
  <si>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</si>
  <si>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</si>
  <si>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</si>
  <si>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</si>
  <si>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</si>
  <si>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</si>
  <si>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</si>
  <si>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</si>
  <si>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</si>
  <si>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</si>
  <si>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</si>
  <si>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</si>
  <si>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</si>
  <si>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</si>
  <si>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</si>
  <si>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</si>
  <si>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</si>
  <si>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</si>
  <si>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</si>
  <si>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</si>
  <si>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</si>
  <si>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</si>
  <si>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</si>
  <si>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</si>
  <si>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</si>
  <si>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</si>
  <si>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</si>
  <si>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</si>
  <si>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</si>
  <si>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</si>
  <si>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</si>
  <si>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</si>
  <si>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</si>
  <si>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</si>
  <si>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</si>
  <si>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</si>
  <si>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</si>
  <si>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</si>
  <si>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</si>
  <si>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</si>
  <si>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</si>
  <si>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</si>
  <si>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</si>
  <si>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</si>
  <si>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</si>
  <si>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</si>
  <si>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</si>
  <si>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</si>
  <si>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</si>
  <si>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</si>
  <si>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</si>
  <si>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</si>
  <si>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</si>
  <si>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</si>
  <si>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</si>
  <si>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</si>
  <si>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</si>
  <si>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</si>
  <si>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</si>
  <si>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</si>
  <si>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</si>
  <si>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</si>
  <si>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</si>
  <si>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</si>
  <si>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</si>
  <si>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</si>
  <si>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</si>
  <si>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</si>
  <si>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</si>
  <si>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</si>
  <si>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</si>
  <si>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</si>
  <si>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</si>
  <si>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</si>
  <si>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</si>
  <si>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</si>
  <si>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</si>
  <si>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</si>
  <si>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</si>
  <si>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</si>
  <si>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</si>
  <si>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</si>
  <si>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</si>
  <si>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</si>
  <si>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</si>
  <si>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</si>
  <si>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</si>
  <si>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</si>
  <si>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</si>
  <si>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</si>
  <si>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</si>
  <si>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</si>
  <si>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</si>
  <si>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</si>
  <si>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</si>
  <si>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</si>
  <si>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</si>
  <si>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</si>
  <si>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</si>
  <si>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</si>
  <si>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</si>
  <si>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</si>
  <si>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</si>
  <si>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</si>
  <si>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</si>
  <si>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</si>
  <si>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</si>
  <si>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</si>
  <si>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</si>
  <si>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</si>
  <si>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</si>
  <si>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</si>
  <si>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</si>
  <si>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</si>
  <si>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</si>
  <si>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</si>
  <si>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</si>
  <si>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</si>
  <si>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</si>
  <si>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</si>
  <si>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</si>
  <si>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</si>
  <si>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</si>
  <si>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</si>
  <si>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</si>
  <si>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</si>
  <si>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</si>
  <si>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</si>
  <si>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</si>
  <si>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</si>
  <si>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</si>
  <si>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</si>
  <si>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</si>
  <si>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</si>
  <si>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</si>
  <si>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</si>
  <si>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</si>
  <si>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</si>
  <si>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</si>
  <si>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</si>
  <si>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</si>
  <si>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</si>
  <si>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</si>
  <si>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</si>
  <si>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</si>
  <si>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</si>
  <si>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</si>
  <si>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</si>
  <si>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</si>
  <si>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</si>
  <si>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</si>
  <si>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</si>
  <si>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</si>
  <si>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</si>
  <si>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</si>
  <si>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</si>
  <si>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</si>
  <si>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</si>
  <si>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</si>
  <si>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</si>
  <si>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</si>
  <si>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</si>
  <si>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</si>
  <si>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</si>
  <si>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</si>
  <si>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</si>
  <si>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</si>
  <si>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</si>
  <si>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</si>
  <si>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</si>
  <si>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</si>
  <si>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</si>
  <si>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</si>
  <si>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</si>
  <si>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</si>
  <si>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</si>
  <si>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</si>
  <si>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</si>
  <si>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</si>
  <si>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</si>
  <si>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</si>
  <si>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</si>
  <si>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</si>
  <si>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</si>
  <si>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</si>
  <si>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</si>
  <si>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</si>
  <si>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</si>
  <si>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</si>
  <si>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</si>
  <si>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</si>
  <si>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</si>
  <si>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</si>
  <si>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</si>
  <si>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</si>
  <si>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</si>
  <si>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</si>
  <si>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</si>
  <si>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</si>
  <si>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</si>
  <si>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</si>
  <si>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</si>
  <si>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</si>
  <si>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</si>
  <si>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</si>
  <si>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</si>
  <si>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</si>
  <si>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</si>
  <si>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</si>
  <si>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</si>
  <si>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</si>
  <si>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</si>
  <si>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</si>
  <si>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</si>
  <si>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</si>
  <si>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</si>
  <si>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</si>
  <si>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</si>
  <si>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</si>
  <si>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</si>
  <si>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</si>
  <si>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</si>
  <si>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</si>
  <si>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</si>
  <si>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</si>
  <si>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</si>
  <si>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</si>
  <si>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</si>
  <si>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</si>
  <si>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</si>
  <si>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</si>
  <si>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</si>
  <si>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</si>
  <si>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</si>
  <si>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</si>
  <si>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</si>
  <si>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</si>
  <si>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</si>
  <si>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</si>
  <si>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</si>
  <si>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</si>
  <si>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</si>
  <si>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</si>
  <si>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</si>
  <si>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</si>
  <si>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</si>
  <si>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</si>
  <si>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</si>
  <si>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</si>
  <si>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</si>
  <si>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</si>
  <si>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</si>
  <si>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</si>
  <si>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</si>
  <si>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</si>
  <si>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</si>
  <si>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</si>
  <si>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</si>
  <si>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</si>
  <si>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</si>
  <si>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</si>
  <si>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</si>
  <si>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</si>
  <si>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</si>
  <si>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</si>
  <si>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</si>
  <si>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</si>
  <si>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</si>
  <si>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</si>
  <si>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</si>
  <si>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</si>
  <si>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</si>
  <si>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</si>
  <si>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</si>
  <si>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</si>
  <si>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</si>
  <si>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</si>
  <si>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</si>
  <si>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</si>
  <si>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</si>
  <si>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</si>
  <si>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</si>
  <si>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</si>
  <si>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</si>
  <si>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</si>
  <si>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</si>
  <si>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</si>
  <si>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</si>
  <si>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</si>
  <si>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</si>
  <si>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</si>
  <si>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</si>
  <si>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</si>
  <si>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</si>
  <si>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</si>
  <si>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</si>
  <si>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</si>
  <si>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</si>
  <si>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</si>
  <si>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</si>
  <si>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</si>
  <si>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</si>
  <si>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</si>
  <si>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</si>
  <si>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</si>
  <si>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</si>
  <si>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</si>
  <si>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</si>
  <si>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</si>
  <si>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</si>
  <si>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</si>
  <si>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</si>
  <si>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</si>
  <si>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</si>
  <si>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</si>
  <si>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</si>
  <si>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</si>
  <si>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</si>
  <si>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</si>
  <si>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</si>
  <si>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</si>
  <si>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</si>
  <si>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</si>
  <si>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</si>
  <si>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</si>
  <si>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</si>
  <si>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</si>
  <si>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</si>
  <si>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</si>
  <si>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</si>
  <si>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</si>
  <si>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</si>
  <si>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</si>
  <si>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</si>
  <si>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</si>
  <si>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</si>
  <si>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</si>
  <si>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</si>
  <si>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</si>
  <si>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</si>
  <si>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</si>
  <si>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</si>
  <si>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</si>
  <si>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</si>
  <si>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</si>
  <si>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</si>
  <si>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</si>
  <si>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</si>
  <si>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</si>
  <si>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</si>
  <si>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</si>
  <si>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</si>
  <si>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</si>
  <si>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</si>
  <si>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</si>
  <si>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</si>
  <si>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</si>
  <si>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</si>
  <si>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</si>
  <si>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</si>
  <si>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</si>
  <si>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</si>
  <si>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</si>
  <si>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</si>
  <si>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</si>
  <si>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</si>
  <si>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</si>
  <si>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</si>
  <si>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</si>
  <si>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</si>
  <si>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</si>
  <si>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</si>
  <si>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</si>
  <si>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</si>
  <si>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</si>
  <si>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</si>
  <si>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</si>
  <si>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</si>
  <si>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</si>
  <si>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</si>
  <si>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</si>
  <si>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</si>
  <si>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</si>
  <si>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</si>
  <si>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</si>
  <si>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</si>
  <si>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</si>
  <si>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</si>
  <si>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</si>
  <si>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</si>
  <si>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</si>
  <si>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</si>
  <si>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</si>
  <si>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</si>
  <si>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</si>
  <si>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</si>
  <si>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</si>
  <si>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</si>
  <si>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</si>
  <si>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</si>
  <si>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</si>
  <si>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</si>
  <si>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</si>
  <si>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</si>
  <si>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</si>
  <si>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</si>
  <si>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</si>
  <si>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</si>
  <si>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</si>
  <si>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</si>
  <si>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</si>
  <si>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</si>
  <si>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</si>
  <si>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</si>
  <si>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</si>
  <si>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</si>
  <si>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</si>
  <si>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</si>
  <si>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</si>
  <si>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</si>
  <si>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</si>
  <si>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</si>
  <si>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</si>
  <si>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</si>
  <si>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</si>
  <si>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</si>
  <si>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</si>
  <si>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</si>
  <si>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</si>
  <si>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</si>
  <si>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</si>
  <si>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</si>
  <si>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</si>
  <si>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</si>
  <si>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</si>
  <si>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</si>
  <si>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</si>
  <si>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</si>
  <si>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</si>
  <si>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</si>
  <si>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</si>
  <si>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</si>
  <si>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</si>
  <si>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</si>
  <si>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</si>
  <si>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</si>
  <si>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</si>
  <si>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</si>
  <si>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</si>
  <si>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</si>
  <si>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</si>
  <si>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</si>
  <si>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</si>
  <si>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</si>
  <si>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</si>
  <si>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</si>
  <si>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</si>
  <si>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</si>
  <si>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</si>
  <si>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</si>
  <si>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</si>
  <si>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</si>
  <si>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</si>
  <si>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</si>
  <si>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</si>
  <si>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</si>
  <si>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</si>
  <si>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</si>
  <si>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</si>
  <si>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</si>
  <si>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</si>
  <si>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</si>
  <si>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</si>
  <si>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</si>
  <si>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</si>
  <si>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</si>
  <si>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</si>
  <si>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</si>
  <si>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</si>
  <si>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</si>
  <si>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</si>
  <si>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</si>
  <si>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</si>
  <si>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</si>
  <si>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</si>
  <si>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</si>
  <si>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</si>
  <si>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</si>
  <si>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</si>
  <si>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</si>
  <si>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</si>
  <si>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</si>
  <si>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</si>
  <si>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</si>
  <si>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</si>
  <si>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</si>
  <si>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</si>
  <si>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</si>
  <si>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</si>
  <si>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</si>
  <si>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</si>
  <si>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</si>
  <si>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</si>
  <si>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</si>
  <si>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</si>
  <si>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</si>
  <si>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</si>
  <si>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</si>
  <si>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</si>
  <si>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</si>
  <si>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</si>
  <si>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</si>
  <si>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</si>
  <si>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</si>
  <si>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</si>
  <si>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</si>
  <si>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</si>
  <si>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</si>
  <si>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</si>
  <si>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</si>
  <si>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</si>
  <si>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</si>
  <si>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</si>
  <si>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</si>
  <si>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</si>
  <si>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</si>
  <si>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</si>
  <si>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</si>
  <si>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</si>
  <si>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</si>
  <si>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</si>
  <si>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</si>
  <si>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</si>
  <si>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</si>
  <si>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</si>
  <si>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</si>
  <si>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</si>
  <si>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</si>
  <si>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</si>
  <si>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</si>
  <si>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</si>
  <si>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</si>
  <si>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</si>
  <si>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</si>
  <si>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</si>
  <si>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</si>
  <si>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</si>
  <si>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</si>
  <si>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</si>
  <si>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</si>
  <si>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</si>
  <si>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</si>
  <si>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</si>
  <si>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</si>
  <si>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</si>
  <si>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</si>
  <si>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</si>
  <si>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</si>
  <si>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</si>
  <si>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</si>
  <si>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</si>
  <si>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</si>
  <si>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</si>
  <si>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</si>
  <si>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</si>
  <si>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</si>
  <si>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</si>
  <si>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</si>
  <si>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</si>
  <si>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</si>
  <si>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</si>
  <si>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</si>
  <si>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</si>
  <si>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</si>
  <si>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</si>
  <si>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</si>
  <si>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</si>
  <si>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</si>
  <si>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</si>
  <si>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</si>
  <si>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</si>
  <si>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</si>
  <si>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</si>
  <si>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</si>
  <si>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</si>
  <si>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</si>
  <si>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</si>
  <si>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</si>
  <si>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</si>
  <si>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</si>
  <si>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</si>
  <si>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</si>
  <si>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</si>
  <si>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</si>
  <si>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</si>
  <si>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</si>
  <si>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</si>
  <si>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</si>
  <si>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</si>
  <si>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</si>
  <si>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</si>
  <si>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</si>
  <si>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</si>
  <si>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</si>
  <si>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</si>
  <si>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</si>
  <si>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</si>
  <si>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</si>
  <si>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</si>
  <si>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</si>
  <si>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</si>
  <si>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</si>
  <si>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</si>
  <si>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</si>
  <si>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</si>
  <si>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</si>
  <si>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</si>
  <si>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</si>
  <si>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</si>
  <si>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</si>
  <si>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</si>
  <si>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</si>
  <si>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</si>
  <si>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</si>
  <si>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</si>
  <si>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</si>
  <si>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</si>
  <si>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</si>
  <si>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</si>
  <si>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</si>
  <si>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</si>
  <si>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</si>
  <si>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</si>
  <si>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</si>
  <si>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</si>
  <si>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</si>
  <si>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</si>
  <si>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</si>
  <si>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</si>
  <si>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</si>
  <si>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</si>
  <si>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</si>
  <si>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</si>
  <si>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</si>
  <si>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</si>
  <si>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</si>
  <si>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</si>
  <si>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</si>
  <si>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</si>
  <si>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</si>
  <si>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</si>
  <si>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</si>
  <si>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</si>
  <si>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</si>
  <si>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</si>
  <si>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</si>
  <si>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</si>
  <si>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</si>
  <si>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</si>
  <si>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</si>
  <si>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</si>
  <si>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</si>
  <si>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</si>
  <si>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</si>
  <si>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</si>
  <si>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</si>
  <si>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</si>
  <si>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</si>
  <si>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</si>
  <si>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</si>
  <si>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</si>
  <si>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</si>
  <si>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</si>
  <si>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</si>
  <si>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</si>
  <si>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</si>
  <si>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</si>
  <si>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</si>
  <si>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</si>
  <si>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</si>
  <si>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</si>
  <si>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</si>
  <si>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</si>
  <si>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</si>
  <si>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</si>
  <si>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</si>
  <si>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</si>
  <si>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</si>
  <si>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</si>
  <si>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</si>
  <si>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</si>
  <si>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</si>
  <si>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</si>
  <si>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</si>
  <si>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</si>
  <si>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</si>
  <si>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</si>
  <si>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</si>
  <si>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</si>
  <si>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</si>
  <si>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</si>
  <si>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</si>
  <si>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</si>
  <si>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</si>
  <si>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</si>
  <si>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</si>
  <si>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</si>
  <si>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</si>
  <si>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</si>
  <si>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</si>
  <si>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</si>
  <si>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</si>
  <si>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</si>
  <si>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</si>
  <si>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</si>
  <si>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</si>
  <si>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</si>
  <si>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</si>
  <si>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</si>
  <si>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</si>
  <si>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</si>
  <si>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</si>
  <si>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</si>
  <si>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</si>
  <si>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</si>
  <si>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</si>
  <si>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</si>
  <si>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</si>
  <si>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</si>
  <si>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</si>
  <si>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</si>
  <si>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</si>
  <si>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</si>
  <si>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</si>
  <si>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</si>
  <si>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</si>
  <si>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</si>
  <si>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</si>
  <si>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</si>
  <si>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</si>
  <si>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</si>
  <si>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</si>
  <si>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</si>
  <si>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</si>
  <si>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</si>
  <si>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</si>
  <si>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</si>
  <si>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</si>
  <si>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</si>
  <si>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</si>
  <si>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</si>
  <si>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</si>
  <si>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</si>
  <si>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</si>
  <si>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</si>
  <si>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</si>
  <si>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</si>
  <si>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</si>
  <si>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</si>
  <si>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</si>
  <si>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</si>
  <si>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</si>
  <si>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</si>
  <si>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</si>
  <si>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</si>
  <si>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</si>
  <si>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</si>
  <si>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</si>
  <si>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</si>
  <si>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</si>
  <si>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</si>
  <si>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</si>
  <si>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</si>
  <si>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</si>
  <si>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</si>
  <si>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</si>
  <si>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</si>
  <si>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</si>
  <si>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</si>
  <si>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</si>
  <si>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</si>
  <si>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</si>
  <si>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</si>
  <si>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</si>
  <si>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</si>
  <si>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</si>
  <si>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</si>
  <si>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</si>
  <si>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</si>
  <si>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</si>
  <si>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</si>
  <si>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</si>
  <si>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</si>
  <si>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</si>
  <si>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</si>
  <si>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</si>
  <si>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</si>
  <si>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</si>
  <si>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</si>
  <si>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</si>
  <si>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</si>
  <si>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</si>
  <si>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</si>
  <si>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</si>
  <si>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</si>
  <si>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</si>
  <si>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</si>
  <si>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</si>
  <si>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</si>
  <si>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</si>
  <si>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</si>
  <si>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</si>
  <si>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</si>
  <si>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</si>
  <si>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</si>
  <si>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</si>
  <si>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</si>
  <si>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</si>
  <si>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</si>
  <si>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</si>
  <si>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</si>
  <si>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</si>
  <si>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</si>
  <si>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</si>
  <si>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</si>
  <si>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</si>
  <si>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</si>
  <si>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</si>
  <si>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</si>
  <si>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</si>
  <si>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</si>
  <si>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</si>
  <si>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</si>
  <si>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</si>
  <si>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</si>
  <si>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</si>
  <si>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</si>
  <si>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</si>
  <si>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</si>
  <si>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</si>
  <si>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</si>
  <si>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</si>
  <si>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</si>
  <si>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</si>
  <si>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</si>
  <si>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</si>
  <si>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</si>
  <si>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</si>
  <si>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</si>
  <si>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</si>
  <si>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</si>
  <si>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</si>
  <si>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</si>
  <si>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</si>
  <si>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</si>
  <si>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</si>
  <si>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</si>
  <si>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</si>
  <si>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</si>
  <si>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</si>
  <si>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</si>
  <si>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</si>
  <si>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</si>
  <si>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</si>
  <si>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</si>
  <si>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</si>
  <si>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</si>
  <si>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</si>
  <si>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</si>
  <si>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</si>
  <si>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</si>
  <si>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</si>
  <si>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</si>
  <si>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</si>
  <si>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</si>
  <si>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</si>
  <si>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</si>
  <si>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</si>
  <si>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</si>
  <si>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</si>
  <si>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</si>
  <si>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</si>
  <si>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</si>
  <si>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</si>
  <si>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</si>
  <si>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</si>
  <si>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</si>
  <si>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</si>
  <si>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</si>
  <si>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</si>
  <si>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</si>
  <si>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</si>
  <si>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</si>
  <si>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</si>
  <si>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</si>
  <si>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</si>
  <si>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</si>
  <si>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</si>
  <si>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</si>
  <si>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</si>
  <si>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</si>
  <si>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</si>
  <si>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</si>
  <si>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</si>
  <si>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</si>
  <si>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</si>
  <si>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</si>
  <si>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</si>
  <si>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</si>
  <si>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</si>
  <si>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</si>
  <si>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</si>
  <si>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</si>
  <si>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</si>
  <si>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</si>
  <si>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</si>
  <si>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</si>
  <si>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</si>
  <si>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</si>
  <si>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</si>
  <si>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</si>
  <si>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</si>
  <si>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</si>
  <si>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</si>
  <si>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</si>
  <si>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</si>
  <si>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</si>
  <si>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</si>
  <si>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</si>
  <si>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</si>
  <si>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</si>
  <si>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</si>
  <si>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</si>
  <si>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</si>
  <si>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</si>
  <si>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</si>
  <si>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</si>
  <si>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</si>
  <si>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</si>
  <si>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</si>
  <si>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</si>
  <si>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</si>
  <si>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</si>
  <si>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</si>
  <si>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</si>
  <si>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</si>
  <si>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</si>
  <si>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</si>
  <si>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</si>
  <si>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</si>
  <si>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</si>
  <si>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</si>
  <si>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</si>
  <si>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</si>
  <si>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</si>
  <si>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</si>
  <si>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</si>
  <si>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</si>
  <si>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</si>
  <si>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</si>
  <si>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</si>
  <si>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</si>
  <si>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</si>
  <si>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</si>
  <si>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</si>
  <si>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</si>
  <si>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</si>
  <si>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</si>
  <si>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</si>
  <si>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</si>
  <si>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</si>
  <si>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</si>
  <si>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</si>
  <si>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</si>
  <si>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</si>
  <si>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</si>
  <si>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</si>
  <si>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</si>
  <si>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</si>
  <si>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</si>
  <si>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</si>
  <si>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</si>
  <si>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</si>
  <si>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</si>
  <si>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</si>
  <si>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</si>
  <si>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</si>
  <si>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</si>
  <si>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</si>
  <si>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</si>
  <si>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</si>
  <si>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</si>
  <si>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</si>
  <si>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</si>
  <si>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</si>
  <si>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</si>
  <si>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</si>
  <si>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</si>
  <si>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</si>
  <si>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</si>
  <si>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</si>
  <si>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</si>
  <si>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</si>
  <si>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</si>
  <si>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</si>
  <si>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</si>
  <si>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</si>
  <si>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</si>
  <si>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</si>
  <si>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</si>
  <si>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</si>
  <si>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</si>
  <si>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</si>
  <si>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</si>
  <si>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</si>
  <si>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</si>
  <si>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</si>
  <si>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</si>
  <si>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</si>
  <si>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</si>
  <si>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</si>
  <si>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</si>
  <si>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</si>
  <si>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</si>
  <si>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</si>
  <si>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</si>
  <si>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</si>
  <si>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</si>
  <si>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</si>
  <si>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</si>
  <si>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</si>
  <si>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</si>
  <si>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</si>
  <si>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</si>
  <si>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</si>
  <si>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</si>
  <si>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</si>
  <si>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</si>
  <si>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</si>
  <si>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</si>
  <si>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</si>
  <si>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</si>
  <si>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</si>
  <si>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</si>
  <si>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</si>
  <si>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</si>
  <si>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</si>
  <si>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</si>
  <si>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</si>
  <si>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</si>
  <si>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</si>
  <si>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</si>
  <si>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</si>
  <si>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</si>
  <si>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</si>
  <si>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</si>
  <si>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</si>
  <si>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</si>
  <si>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</si>
  <si>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</si>
  <si>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</si>
  <si>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</si>
  <si>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</si>
  <si>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</si>
  <si>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</si>
  <si>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</si>
  <si>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</si>
  <si>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</si>
  <si>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</si>
  <si>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</si>
  <si>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</si>
  <si>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</si>
  <si>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</si>
  <si>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</si>
  <si>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</si>
  <si>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</si>
  <si>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</si>
  <si>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</si>
  <si>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</si>
  <si>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</si>
  <si>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</si>
  <si>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</si>
  <si>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</si>
  <si>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</si>
  <si>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</si>
  <si>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</si>
  <si>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</si>
  <si>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</si>
  <si>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</si>
  <si>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</si>
  <si>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</si>
  <si>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</si>
  <si>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</si>
  <si>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</si>
  <si>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</si>
  <si>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</si>
  <si>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</si>
  <si>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</si>
  <si>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</si>
  <si>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</si>
  <si>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</si>
  <si>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</si>
  <si>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</si>
  <si>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</si>
  <si>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</si>
  <si>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</si>
  <si>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</si>
  <si>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</si>
  <si>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</si>
  <si>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</si>
  <si>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</si>
  <si>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</si>
  <si>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</si>
  <si>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</si>
  <si>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</si>
  <si>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</si>
  <si>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</si>
  <si>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</si>
  <si>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</si>
  <si>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</si>
  <si>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</si>
  <si>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</si>
  <si>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</si>
  <si>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</si>
  <si>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</si>
  <si>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</si>
  <si>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</si>
  <si>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</si>
  <si>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</si>
  <si>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</si>
  <si>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</si>
  <si>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</si>
  <si>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</si>
  <si>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</si>
  <si>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</si>
  <si>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</si>
  <si>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</si>
  <si>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</si>
  <si>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</si>
  <si>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</si>
  <si>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</si>
  <si>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</si>
  <si>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</si>
  <si>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</si>
  <si>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</si>
  <si>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</si>
  <si>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</si>
  <si>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</si>
  <si>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</si>
  <si>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</si>
  <si>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</si>
  <si>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</si>
  <si>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</si>
  <si>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</si>
  <si>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</si>
  <si>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</si>
  <si>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</si>
  <si>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</si>
  <si>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</si>
  <si>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</si>
  <si>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</si>
  <si>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</si>
  <si>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</si>
  <si>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</si>
  <si>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</si>
  <si>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</si>
  <si>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</si>
  <si>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</si>
  <si>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</si>
  <si>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</si>
  <si>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</si>
  <si>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</si>
  <si>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</si>
  <si>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</si>
  <si>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</si>
  <si>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</si>
  <si>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</si>
  <si>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</si>
  <si>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</si>
  <si>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</si>
  <si>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</si>
  <si>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</si>
  <si>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</si>
  <si>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</si>
  <si>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</si>
  <si>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</si>
  <si>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</si>
  <si>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</si>
  <si>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</si>
  <si>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</si>
  <si>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</si>
  <si>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</si>
  <si>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</si>
  <si>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</si>
  <si>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</si>
  <si>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</si>
  <si>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</si>
  <si>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</si>
  <si>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</si>
  <si>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</si>
  <si>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</si>
  <si>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</si>
  <si>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</si>
  <si>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</si>
  <si>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</si>
  <si>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</si>
  <si>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</si>
  <si>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</si>
  <si>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</si>
  <si>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</si>
  <si>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</si>
  <si>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</si>
  <si>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</si>
  <si>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</si>
  <si>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</si>
  <si>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</si>
  <si>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</si>
  <si>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</si>
  <si>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</si>
  <si>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</si>
  <si>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</si>
  <si>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</si>
  <si>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</si>
  <si>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</si>
  <si>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</si>
  <si>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</si>
  <si>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</si>
  <si>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</si>
  <si>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</si>
  <si>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</si>
  <si>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</si>
  <si>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</si>
  <si>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</si>
  <si>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</si>
  <si>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</si>
  <si>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</si>
  <si>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</si>
  <si>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</si>
  <si>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</si>
  <si>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</si>
  <si>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</si>
  <si>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</si>
  <si>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</si>
  <si>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</si>
  <si>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</si>
  <si>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</si>
  <si>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</si>
  <si>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</si>
  <si>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</si>
  <si>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</si>
  <si>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</si>
  <si>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</si>
  <si>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</si>
  <si>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</si>
  <si>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</si>
  <si>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</si>
  <si>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</si>
  <si>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</si>
  <si>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</si>
  <si>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</si>
  <si>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</si>
  <si>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</si>
  <si>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</si>
  <si>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</si>
  <si>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</si>
  <si>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</si>
  <si>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</si>
  <si>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</si>
  <si>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</si>
  <si>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</si>
  <si>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</si>
  <si>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</si>
  <si>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</si>
  <si>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</si>
  <si>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</si>
  <si>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</si>
  <si>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</si>
  <si>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</si>
  <si>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</si>
  <si>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</si>
  <si>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</si>
  <si>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</si>
  <si>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</si>
  <si>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</si>
  <si>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</si>
  <si>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</si>
  <si>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</si>
  <si>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</si>
  <si>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</si>
  <si>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</si>
  <si>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</si>
  <si>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</si>
  <si>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</si>
  <si>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</si>
  <si>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</si>
  <si>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</si>
  <si>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</si>
  <si>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</si>
  <si>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</si>
  <si>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</si>
  <si>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</si>
  <si>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</si>
  <si>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</si>
  <si>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</si>
  <si>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</si>
  <si>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</si>
  <si>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</si>
  <si>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</si>
  <si>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</si>
  <si>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</si>
  <si>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</si>
  <si>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</si>
  <si>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</si>
  <si>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</si>
  <si>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</si>
  <si>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</si>
  <si>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</si>
  <si>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</si>
  <si>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</si>
  <si>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</si>
  <si>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</si>
  <si>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</si>
  <si>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</si>
  <si>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</si>
  <si>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</si>
  <si>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</si>
  <si>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</si>
  <si>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</si>
  <si>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</si>
  <si>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</si>
  <si>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</si>
  <si>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</si>
  <si>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</si>
  <si>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</si>
  <si>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</si>
  <si>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</si>
  <si>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</si>
  <si>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</si>
  <si>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</si>
  <si>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</si>
  <si>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</si>
  <si>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</si>
  <si>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</si>
  <si>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</si>
  <si>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</si>
  <si>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</si>
  <si>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</si>
  <si>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</si>
  <si>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</si>
  <si>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</si>
  <si>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</si>
  <si>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</si>
  <si>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</si>
  <si>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</si>
  <si>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</si>
  <si>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</si>
  <si>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</si>
  <si>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</si>
  <si>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</si>
  <si>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</si>
  <si>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</si>
  <si>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</si>
  <si>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</si>
  <si>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</si>
  <si>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</si>
  <si>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</si>
  <si>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</si>
  <si>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</si>
  <si>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</si>
  <si>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</si>
  <si>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</si>
  <si>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</si>
  <si>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</si>
  <si>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</si>
  <si>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</si>
  <si>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</si>
  <si>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</si>
  <si>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</si>
  <si>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</si>
  <si>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</si>
  <si>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</si>
  <si>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</si>
  <si>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</si>
  <si>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</si>
  <si>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</si>
  <si>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</si>
  <si>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</si>
  <si>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</si>
  <si>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</si>
  <si>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</si>
  <si>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</si>
  <si>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</si>
  <si>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</si>
  <si>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</si>
  <si>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</si>
  <si>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</si>
  <si>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</si>
  <si>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</si>
  <si>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</si>
  <si>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</si>
  <si>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</si>
  <si>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</si>
  <si>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</si>
  <si>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</si>
  <si>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</si>
  <si>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</si>
  <si>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</si>
  <si>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</si>
  <si>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</si>
  <si>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</si>
  <si>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</si>
  <si>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</si>
  <si>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</si>
  <si>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</si>
  <si>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</si>
  <si>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</si>
  <si>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</si>
  <si>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</si>
  <si>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</si>
  <si>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</si>
  <si>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</si>
  <si>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</si>
  <si>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</si>
  <si>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</si>
  <si>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</si>
  <si>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</si>
  <si>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</si>
  <si>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</si>
  <si>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</si>
  <si>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</si>
  <si>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</si>
  <si>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</si>
  <si>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</si>
  <si>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</si>
  <si>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</si>
  <si>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</si>
  <si>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</si>
  <si>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</si>
  <si>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</si>
  <si>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</si>
  <si>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</si>
  <si>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</si>
  <si>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</si>
  <si>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</si>
  <si>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</si>
  <si>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</si>
  <si>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</si>
  <si>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</si>
  <si>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</si>
  <si>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</si>
  <si>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</si>
  <si>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</si>
  <si>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</si>
  <si>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</si>
  <si>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</si>
  <si>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</si>
  <si>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</si>
  <si>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</si>
  <si>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</si>
  <si>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</si>
  <si>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</si>
  <si>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</si>
  <si>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</si>
  <si>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</si>
  <si>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</si>
  <si>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</si>
  <si>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</si>
  <si>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</si>
  <si>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</si>
  <si>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</si>
  <si>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</si>
  <si>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</si>
  <si>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</si>
  <si>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</si>
  <si>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</si>
  <si>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</si>
  <si>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</si>
  <si>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</si>
  <si>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</si>
  <si>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</si>
  <si>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</si>
  <si>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</si>
  <si>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</si>
  <si>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</si>
  <si>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</si>
  <si>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</si>
  <si>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</si>
  <si>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</si>
  <si>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</si>
  <si>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</si>
  <si>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</si>
  <si>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</si>
  <si>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</si>
  <si>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</si>
  <si>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</si>
  <si>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</si>
  <si>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</si>
  <si>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</si>
  <si>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</si>
  <si>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</si>
  <si>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</si>
  <si>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</si>
  <si>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</si>
  <si>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</si>
  <si>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</si>
  <si>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</si>
  <si>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</si>
  <si>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</si>
  <si>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</si>
  <si>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</si>
  <si>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</si>
  <si>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</si>
  <si>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</si>
  <si>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</si>
  <si>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</si>
  <si>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</si>
  <si>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</si>
  <si>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</si>
  <si>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</si>
  <si>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</si>
  <si>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</si>
  <si>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</si>
  <si>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</si>
  <si>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</si>
  <si>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</si>
  <si>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</si>
  <si>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</si>
  <si>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</si>
  <si>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</si>
  <si>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</si>
  <si>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</si>
  <si>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</si>
  <si>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</si>
  <si>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</si>
  <si>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</si>
  <si>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</si>
  <si>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</si>
  <si>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</si>
  <si>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</si>
  <si>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</si>
  <si>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</si>
  <si>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</si>
  <si>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</si>
  <si>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</si>
  <si>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</si>
  <si>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</si>
  <si>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</si>
  <si>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</si>
  <si>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</si>
  <si>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</si>
  <si>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</si>
  <si>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</si>
  <si>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</si>
  <si>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</si>
  <si>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</si>
  <si>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</si>
  <si>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</si>
  <si>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</si>
  <si>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</si>
  <si>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</si>
  <si>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</si>
  <si>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</si>
  <si>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</si>
  <si>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</si>
  <si>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</si>
  <si>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</si>
  <si>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</si>
  <si>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</si>
  <si>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</si>
  <si>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</si>
  <si>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</si>
  <si>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</si>
  <si>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</si>
  <si>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</si>
  <si>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</si>
  <si>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</si>
  <si>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</si>
  <si>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</si>
  <si>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</si>
  <si>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</si>
  <si>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</si>
  <si>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</si>
  <si>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</si>
  <si>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</si>
  <si>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</si>
  <si>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</si>
  <si>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</si>
  <si>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</si>
  <si>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</si>
  <si>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</si>
  <si>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</si>
  <si>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</si>
  <si>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</si>
  <si>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</si>
  <si>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</si>
  <si>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</si>
  <si>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</si>
  <si>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</si>
  <si>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</si>
  <si>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</si>
  <si>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</si>
  <si>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</si>
  <si>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</si>
  <si>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</si>
  <si>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</si>
  <si>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</si>
  <si>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</si>
  <si>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</si>
  <si>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</si>
  <si>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</si>
  <si>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</si>
  <si>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</si>
  <si>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</si>
  <si>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</si>
  <si>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</si>
  <si>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</si>
  <si>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</si>
  <si>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</si>
  <si>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</si>
  <si>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</si>
  <si>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</si>
  <si>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</si>
  <si>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</si>
  <si>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</si>
  <si>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</si>
  <si>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</si>
  <si>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</si>
  <si>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</si>
  <si>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</si>
  <si>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</si>
  <si>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</si>
  <si>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</si>
  <si>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</si>
  <si>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</si>
  <si>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</si>
  <si>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</si>
  <si>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</si>
  <si>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</si>
  <si>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</si>
  <si>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</si>
  <si>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</si>
  <si>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</si>
  <si>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</si>
  <si>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</si>
  <si>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</si>
  <si>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</si>
  <si>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</si>
  <si>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</si>
  <si>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</si>
  <si>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</si>
  <si>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</si>
  <si>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</si>
  <si>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</si>
  <si>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</si>
  <si>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</si>
  <si>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</si>
  <si>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</si>
  <si>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</si>
  <si>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</si>
  <si>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</si>
  <si>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</si>
  <si>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</si>
  <si>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</si>
  <si>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</si>
  <si>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</si>
  <si>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</si>
  <si>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</si>
  <si>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</si>
  <si>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</si>
  <si>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</si>
  <si>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</si>
  <si>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</si>
  <si>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</si>
  <si>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</si>
  <si>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</si>
  <si>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</si>
  <si>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</si>
  <si>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</si>
  <si>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</si>
  <si>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</si>
  <si>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</si>
  <si>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</si>
  <si>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</si>
  <si>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</si>
  <si>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</si>
  <si>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</si>
  <si>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</si>
  <si>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</si>
  <si>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</si>
  <si>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</si>
  <si>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</si>
  <si>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</si>
  <si>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</si>
  <si>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</si>
  <si>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</si>
  <si>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</si>
  <si>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</si>
  <si>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</si>
  <si>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</si>
  <si>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</si>
  <si>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</si>
  <si>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</si>
  <si>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</si>
  <si>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</si>
  <si>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</si>
  <si>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</si>
  <si>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</si>
  <si>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</si>
  <si>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</si>
  <si>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</si>
  <si>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</si>
  <si>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</si>
  <si>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</si>
  <si>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</si>
  <si>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</si>
  <si>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</si>
  <si>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</si>
  <si>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</si>
  <si>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</si>
  <si>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</si>
  <si>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</si>
  <si>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</si>
  <si>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</si>
  <si>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</si>
  <si>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</si>
  <si>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</si>
  <si>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</si>
  <si>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</si>
  <si>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</si>
  <si>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</si>
  <si>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</si>
  <si>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</si>
  <si>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</si>
  <si>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</si>
  <si>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</si>
  <si>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</si>
  <si>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</si>
  <si>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</si>
  <si>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</si>
  <si>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</si>
  <si>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</si>
  <si>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</si>
  <si>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</si>
  <si>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</si>
  <si>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</si>
  <si>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</si>
  <si>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</si>
  <si>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</si>
  <si>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</si>
  <si>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</si>
  <si>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</si>
  <si>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</si>
  <si>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</si>
  <si>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</si>
  <si>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</si>
  <si>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</si>
  <si>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</si>
  <si>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</si>
  <si>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</si>
  <si>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</si>
  <si>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</si>
  <si>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</si>
  <si>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</si>
  <si>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</si>
  <si>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</si>
  <si>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</si>
  <si>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</si>
  <si>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</si>
  <si>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</si>
  <si>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</si>
  <si>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</si>
  <si>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</si>
  <si>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</si>
  <si>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</si>
  <si>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</si>
  <si>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</si>
  <si>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</si>
  <si>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</si>
  <si>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</si>
  <si>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</si>
  <si>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</si>
  <si>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</si>
  <si>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</si>
  <si>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</si>
  <si>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</si>
  <si>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</si>
  <si>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</si>
  <si>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</si>
  <si>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</si>
  <si>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</si>
  <si>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</si>
  <si>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</si>
  <si>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</si>
  <si>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</si>
  <si>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</si>
  <si>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</si>
  <si>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</si>
  <si>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</si>
  <si>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</si>
  <si>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</si>
  <si>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</si>
  <si>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</si>
  <si>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</si>
  <si>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</si>
  <si>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</si>
  <si>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</si>
  <si>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</si>
  <si>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</si>
  <si>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</si>
  <si>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</si>
  <si>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</si>
  <si>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</si>
  <si>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</si>
  <si>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</si>
  <si>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</si>
  <si>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</si>
  <si>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</si>
  <si>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</si>
  <si>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</si>
  <si>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</si>
  <si>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</si>
  <si>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</si>
  <si>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</si>
  <si>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</si>
  <si>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</si>
  <si>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</si>
  <si>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</si>
  <si>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</si>
  <si>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</si>
  <si>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</si>
  <si>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</si>
  <si>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</si>
  <si>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</si>
  <si>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</si>
  <si>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</si>
  <si>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</si>
  <si>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</si>
  <si>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</si>
  <si>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</si>
  <si>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</si>
  <si>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</si>
  <si>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</si>
  <si>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</si>
  <si>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</si>
  <si>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</si>
  <si>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</si>
  <si>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</si>
  <si>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</si>
  <si>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</si>
  <si>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</si>
  <si>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</si>
  <si>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</si>
  <si>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</si>
  <si>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</si>
  <si>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</si>
  <si>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</si>
  <si>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</si>
  <si>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</si>
  <si>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</si>
  <si>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</si>
  <si>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</si>
  <si>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</si>
  <si>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</si>
  <si>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</si>
  <si>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</si>
  <si>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</si>
  <si>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</si>
  <si>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</si>
  <si>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</si>
  <si>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</si>
  <si>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</si>
  <si>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</si>
  <si>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</si>
  <si>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</si>
  <si>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</si>
  <si>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</si>
  <si>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</si>
  <si>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</si>
  <si>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</si>
  <si>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</si>
  <si>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</si>
  <si>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</si>
  <si>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</si>
  <si>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</si>
  <si>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</si>
  <si>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</si>
  <si>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</si>
  <si>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</si>
  <si>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</si>
  <si>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</si>
  <si>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</si>
  <si>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</si>
  <si>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</si>
  <si>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</si>
  <si>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</si>
  <si>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</si>
  <si>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</si>
  <si>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</si>
  <si>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</si>
  <si>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</si>
  <si>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</si>
  <si>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</si>
  <si>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</si>
  <si>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</si>
  <si>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</si>
  <si>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</si>
  <si>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</si>
  <si>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</si>
  <si>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</si>
  <si>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</si>
  <si>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</si>
  <si>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</si>
  <si>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</si>
  <si>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</si>
  <si>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</si>
  <si>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</si>
  <si>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</si>
  <si>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</si>
  <si>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</si>
  <si>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</si>
  <si>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</si>
  <si>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</si>
  <si>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</si>
  <si>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</si>
  <si>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</si>
  <si>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</si>
  <si>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</si>
  <si>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</si>
  <si>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</si>
  <si>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</si>
  <si>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</si>
  <si>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</si>
  <si>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</si>
  <si>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</si>
  <si>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</si>
  <si>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</si>
  <si>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</si>
  <si>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</si>
  <si>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</si>
  <si>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</si>
  <si>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</si>
  <si>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</si>
  <si>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</si>
  <si>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</si>
  <si>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</si>
  <si>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</si>
  <si>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</si>
  <si>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</si>
  <si>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</si>
  <si>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</si>
  <si>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</si>
  <si>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</si>
  <si>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</si>
  <si>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</si>
  <si>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</si>
  <si>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</si>
  <si>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</si>
  <si>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</si>
  <si>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</si>
  <si>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</si>
  <si>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</si>
  <si>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</si>
  <si>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</si>
  <si>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</si>
  <si>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</si>
  <si>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</si>
  <si>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</si>
  <si>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</si>
  <si>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</si>
  <si>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</si>
  <si>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</si>
  <si>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</si>
  <si>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</si>
  <si>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</si>
  <si>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</si>
  <si>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</si>
  <si>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</si>
  <si>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</si>
  <si>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</si>
  <si>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</si>
  <si>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</si>
  <si>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</si>
  <si>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</si>
  <si>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</si>
  <si>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</si>
  <si>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</si>
  <si>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</si>
  <si>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</si>
  <si>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</si>
  <si>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</si>
  <si>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</si>
  <si>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</si>
  <si>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</si>
  <si>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</si>
  <si>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</si>
  <si>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</si>
  <si>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</si>
  <si>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</si>
  <si>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</si>
  <si>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</si>
  <si>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</si>
  <si>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</si>
  <si>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</si>
  <si>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</si>
  <si>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</si>
  <si>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</si>
  <si>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</si>
  <si>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</si>
  <si>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</si>
  <si>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</si>
  <si>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</si>
  <si>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</si>
  <si>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</si>
  <si>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</si>
  <si>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</si>
  <si>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</si>
  <si>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</si>
  <si>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</si>
  <si>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</si>
  <si>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</si>
  <si>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</si>
  <si>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</si>
  <si>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</si>
  <si>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</si>
  <si>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</si>
  <si>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</si>
  <si>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</si>
  <si>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</si>
  <si>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</si>
  <si>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</si>
  <si>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</si>
  <si>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</si>
  <si>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</si>
  <si>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</si>
  <si>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</si>
  <si>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</si>
  <si>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</si>
  <si>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</si>
  <si>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</si>
  <si>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</si>
  <si>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</si>
  <si>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</si>
  <si>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</si>
  <si>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</si>
  <si>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</si>
  <si>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</si>
  <si>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</si>
  <si>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</si>
  <si>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</si>
  <si>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</si>
  <si>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</si>
  <si>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</si>
  <si>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</si>
  <si>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</si>
  <si>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</si>
  <si>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</si>
  <si>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</si>
  <si>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</si>
  <si>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</si>
  <si>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</si>
  <si>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</si>
  <si>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</si>
  <si>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</si>
  <si>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</si>
  <si>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</si>
  <si>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</si>
  <si>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</si>
  <si>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</si>
  <si>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</si>
  <si>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</si>
  <si>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</si>
  <si>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</si>
  <si>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</si>
  <si>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</si>
  <si>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</si>
  <si>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</si>
  <si>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</si>
  <si>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</si>
  <si>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</si>
  <si>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</si>
  <si>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</si>
  <si>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</si>
  <si>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</si>
  <si>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</si>
  <si>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</si>
  <si>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</si>
  <si>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</si>
  <si>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</si>
  <si>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</si>
  <si>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</si>
  <si>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</si>
  <si>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</si>
  <si>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</si>
  <si>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</si>
  <si>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</si>
  <si>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</si>
  <si>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</si>
  <si>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</si>
  <si>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</si>
  <si>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</si>
  <si>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</si>
  <si>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</si>
  <si>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</si>
  <si>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</si>
  <si>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</si>
  <si>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</si>
  <si>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</si>
  <si>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</si>
  <si>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</si>
  <si>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</si>
  <si>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</si>
  <si>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</si>
  <si>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</si>
  <si>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</si>
  <si>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</si>
  <si>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</si>
  <si>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</si>
  <si>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</si>
  <si>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</si>
  <si>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</si>
  <si>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</si>
  <si>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</si>
  <si>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</si>
  <si>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</si>
  <si>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</si>
  <si>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</si>
  <si>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</si>
  <si>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</si>
  <si>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</si>
  <si>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</si>
  <si>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</si>
  <si>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</si>
  <si>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</si>
  <si>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</si>
  <si>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</si>
  <si>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</si>
  <si>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</si>
  <si>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</si>
  <si>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</si>
  <si>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</si>
  <si>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</si>
  <si>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</si>
  <si>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</si>
  <si>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</si>
  <si>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</si>
  <si>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</si>
  <si>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</si>
  <si>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</si>
  <si>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</si>
  <si>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</si>
  <si>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</si>
  <si>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</si>
  <si>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</si>
  <si>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</si>
  <si>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</si>
  <si>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</si>
  <si>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</si>
  <si>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</si>
  <si>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</si>
  <si>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</si>
  <si>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</si>
  <si>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</si>
  <si>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</si>
  <si>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</si>
  <si>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</si>
  <si>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</si>
  <si>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</si>
  <si>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</si>
  <si>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</si>
  <si>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</si>
  <si>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</si>
  <si>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</si>
  <si>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</si>
  <si>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</si>
  <si>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</si>
  <si>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</si>
  <si>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</si>
  <si>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</si>
  <si>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</si>
  <si>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</si>
  <si>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</si>
  <si>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</si>
  <si>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</si>
  <si>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</si>
  <si>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</si>
  <si>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</si>
  <si>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</si>
  <si>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</si>
  <si>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</si>
  <si>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</si>
  <si>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</si>
  <si>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</si>
  <si>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</si>
  <si>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</si>
  <si>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</si>
  <si>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</si>
  <si>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</si>
  <si>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</si>
  <si>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</si>
  <si>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</si>
  <si>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</si>
  <si>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</si>
  <si>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</si>
  <si>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</si>
  <si>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</si>
  <si>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</si>
  <si>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</si>
  <si>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</si>
  <si>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</si>
  <si>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</si>
  <si>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</si>
  <si>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</si>
  <si>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</si>
  <si>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</si>
  <si>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</si>
  <si>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</si>
  <si>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</si>
  <si>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</si>
  <si>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</si>
  <si>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</si>
  <si>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</si>
  <si>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</si>
  <si>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</si>
  <si>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</si>
  <si>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</si>
  <si>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</si>
  <si>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</si>
  <si>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</si>
  <si>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</si>
  <si>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</si>
  <si>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</si>
  <si>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</si>
  <si>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</si>
  <si>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</si>
  <si>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</si>
  <si>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</si>
  <si>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</si>
  <si>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</si>
  <si>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</si>
  <si>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</si>
  <si>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</si>
  <si>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</si>
  <si>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</si>
  <si>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</si>
  <si>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</si>
  <si>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</si>
  <si>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</si>
  <si>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</si>
  <si>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</si>
  <si>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</si>
  <si>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</si>
  <si>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</si>
  <si>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</si>
  <si>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</si>
  <si>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</si>
  <si>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</si>
  <si>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</si>
  <si>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</si>
  <si>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</si>
  <si>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</si>
  <si>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</si>
  <si>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</si>
  <si>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</si>
  <si>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</si>
  <si>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</si>
  <si>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</si>
  <si>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</si>
  <si>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</si>
  <si>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</si>
  <si>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</si>
  <si>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</si>
  <si>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</si>
  <si>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</si>
  <si>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</si>
  <si>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</si>
  <si>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</si>
  <si>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</si>
  <si>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</si>
  <si>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</si>
  <si>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</si>
  <si>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</si>
  <si>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</si>
  <si>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</si>
  <si>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</si>
  <si>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</si>
  <si>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</si>
  <si>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</si>
  <si>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</si>
  <si>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</si>
  <si>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</si>
  <si>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</si>
  <si>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</si>
  <si>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</si>
  <si>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</si>
  <si>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</si>
  <si>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</si>
  <si>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</si>
  <si>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</si>
  <si>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</si>
  <si>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</si>
  <si>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</si>
  <si>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</si>
  <si>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</si>
  <si>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</si>
  <si>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</si>
  <si>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</si>
  <si>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</si>
  <si>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</si>
  <si>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</si>
  <si>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</si>
  <si>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</si>
  <si>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</si>
  <si>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</si>
  <si>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</si>
  <si>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</si>
  <si>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</si>
  <si>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</si>
  <si>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</si>
  <si>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</si>
  <si>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</si>
  <si>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</si>
  <si>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</si>
  <si>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</si>
  <si>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</si>
  <si>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</si>
  <si>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</si>
  <si>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</si>
  <si>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</si>
  <si>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</si>
  <si>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</si>
  <si>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</si>
  <si>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</si>
  <si>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</si>
  <si>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</si>
  <si>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</si>
  <si>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</si>
  <si>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</si>
  <si>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</si>
  <si>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</si>
  <si>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</si>
  <si>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</si>
  <si>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</si>
  <si>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</si>
  <si>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</si>
  <si>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</si>
  <si>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</si>
  <si>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</si>
  <si>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</si>
  <si>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</si>
  <si>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</si>
  <si>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</si>
  <si>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</si>
  <si>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</si>
  <si>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</si>
  <si>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</si>
  <si>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</si>
  <si>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</si>
  <si>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</si>
  <si>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</si>
  <si>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</si>
  <si>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</si>
  <si>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</si>
  <si>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</si>
  <si>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</si>
  <si>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</si>
  <si>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</si>
  <si>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</si>
  <si>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</si>
  <si>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</si>
  <si>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</si>
  <si>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</si>
  <si>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</si>
  <si>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</si>
  <si>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</si>
  <si>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</si>
  <si>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</si>
  <si>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</si>
  <si>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</si>
  <si>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</si>
  <si>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</si>
  <si>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</si>
  <si>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</si>
  <si>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</si>
  <si>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</si>
  <si>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</si>
  <si>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</si>
  <si>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</si>
  <si>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</si>
  <si>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</si>
  <si>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</si>
  <si>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</si>
  <si>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</si>
  <si>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</si>
  <si>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</si>
  <si>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</si>
  <si>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</si>
  <si>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</si>
  <si>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</si>
  <si>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</si>
  <si>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</si>
  <si>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</si>
  <si>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</si>
  <si>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</si>
  <si>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</si>
  <si>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</si>
  <si>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</si>
  <si>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</si>
  <si>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</si>
  <si>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</si>
  <si>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</si>
  <si>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</si>
  <si>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</si>
  <si>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</si>
  <si>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</si>
  <si>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</si>
  <si>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</si>
  <si>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</si>
  <si>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</si>
  <si>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</si>
  <si>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</si>
  <si>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</si>
  <si>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</si>
  <si>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</si>
  <si>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</si>
  <si>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</si>
  <si>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</si>
  <si>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</si>
  <si>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</si>
  <si>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</si>
  <si>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</si>
  <si>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</si>
  <si>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</si>
  <si>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</si>
  <si>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</si>
  <si>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</si>
  <si>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</si>
  <si>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</si>
  <si>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</si>
  <si>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</si>
  <si>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</si>
  <si>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</si>
  <si>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</si>
  <si>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</si>
  <si>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</si>
  <si>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</si>
  <si>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</si>
  <si>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</si>
  <si>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</si>
  <si>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</si>
  <si>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</si>
  <si>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</si>
  <si>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</si>
  <si>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</si>
  <si>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</si>
  <si>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</si>
  <si>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</si>
  <si>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</si>
  <si>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</si>
  <si>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</si>
  <si>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</si>
  <si>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</si>
  <si>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</si>
  <si>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</si>
  <si>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</si>
  <si>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</si>
  <si>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</si>
  <si>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</si>
  <si>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</si>
  <si>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</si>
  <si>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</si>
  <si>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</si>
  <si>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</si>
  <si>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</si>
  <si>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</si>
  <si>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</si>
  <si>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</si>
  <si>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</si>
  <si>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</si>
  <si>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</si>
  <si>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</si>
  <si>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</si>
  <si>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</si>
  <si>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</si>
  <si>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</si>
  <si>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</si>
  <si>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</si>
  <si>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</si>
  <si>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</si>
  <si>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</si>
  <si>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</si>
  <si>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</si>
  <si>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</si>
  <si>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</si>
  <si>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</si>
  <si>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</si>
  <si>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</si>
  <si>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</si>
  <si>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</si>
  <si>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</si>
  <si>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</si>
  <si>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</si>
  <si>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</si>
  <si>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</si>
  <si>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</si>
  <si>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</si>
  <si>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</si>
  <si>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</si>
  <si>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</si>
  <si>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</si>
  <si>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</si>
  <si>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</si>
  <si>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</si>
  <si>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</si>
  <si>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</si>
  <si>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</si>
  <si>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</si>
  <si>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</si>
  <si>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</si>
  <si>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</si>
  <si>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</si>
  <si>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</si>
  <si>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</si>
  <si>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</si>
  <si>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</si>
  <si>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</si>
  <si>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</si>
  <si>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</si>
  <si>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</si>
  <si>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</si>
  <si>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</si>
  <si>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</si>
  <si>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</si>
  <si>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</si>
  <si>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</si>
  <si>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</si>
  <si>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</si>
  <si>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</si>
  <si>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</si>
  <si>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</si>
  <si>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</si>
  <si>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</si>
  <si>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</si>
  <si>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</si>
  <si>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</si>
  <si>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</si>
  <si>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</si>
  <si>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</si>
  <si>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</si>
  <si>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</si>
  <si>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</si>
  <si>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</si>
  <si>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</si>
  <si>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</si>
  <si>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</si>
  <si>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</si>
  <si>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</si>
  <si>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</si>
  <si>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</si>
  <si>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</si>
  <si>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</si>
  <si>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</si>
  <si>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</si>
  <si>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</si>
  <si>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</si>
  <si>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</si>
  <si>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</si>
  <si>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</si>
  <si>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</si>
  <si>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</si>
  <si>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</si>
  <si>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</si>
  <si>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</si>
  <si>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</si>
  <si>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</si>
  <si>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</si>
  <si>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</si>
  <si>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</si>
  <si>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</si>
  <si>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</si>
  <si>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</si>
  <si>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</si>
  <si>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</si>
  <si>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</si>
  <si>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</si>
  <si>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</si>
  <si>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</si>
  <si>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</si>
  <si>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</si>
  <si>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</si>
  <si>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</si>
  <si>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</si>
  <si>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</si>
  <si>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</si>
  <si>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</si>
  <si>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</si>
  <si>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</si>
  <si>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</si>
  <si>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</si>
  <si>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</si>
  <si>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</si>
  <si>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</si>
  <si>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</si>
  <si>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</si>
  <si>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</si>
  <si>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</si>
  <si>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</si>
  <si>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</si>
  <si>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</si>
  <si>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</si>
  <si>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</si>
  <si>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</si>
  <si>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</si>
  <si>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</si>
  <si>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</si>
  <si>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</si>
  <si>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</si>
  <si>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</si>
  <si>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</si>
  <si>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</si>
  <si>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</si>
  <si>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</si>
  <si>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</si>
  <si>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</si>
  <si>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</si>
  <si>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</si>
  <si>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</si>
  <si>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</si>
  <si>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</si>
  <si>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</si>
  <si>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</si>
  <si>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</si>
  <si>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</si>
  <si>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</si>
  <si>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</si>
  <si>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</si>
  <si>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</si>
  <si>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</si>
  <si>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</si>
  <si>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</si>
  <si>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</si>
  <si>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</si>
  <si>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</si>
  <si>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</si>
  <si>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</si>
  <si>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</si>
  <si>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</si>
  <si>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</si>
  <si>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</si>
  <si>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</si>
  <si>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</si>
  <si>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</si>
  <si>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</si>
  <si>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</si>
  <si>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</si>
  <si>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</si>
  <si>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</si>
  <si>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</si>
  <si>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</si>
  <si>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</si>
  <si>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</si>
  <si>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</si>
  <si>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</si>
  <si>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</si>
  <si>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</si>
  <si>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</si>
  <si>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</si>
  <si>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</si>
  <si>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</si>
  <si>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</si>
  <si>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</si>
  <si>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</si>
  <si>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</si>
  <si>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</si>
  <si>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</si>
  <si>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</si>
  <si>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</si>
  <si>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</si>
  <si>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</si>
  <si>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</si>
  <si>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</si>
  <si>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</si>
  <si>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</si>
  <si>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</si>
  <si>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</si>
  <si>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</si>
  <si>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</si>
  <si>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</si>
  <si>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</si>
  <si>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</si>
  <si>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</si>
  <si>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</si>
  <si>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</si>
  <si>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</si>
  <si>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</si>
  <si>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</si>
  <si>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</si>
  <si>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</si>
  <si>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</si>
  <si>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</si>
  <si>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</si>
  <si>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</si>
  <si>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</si>
  <si>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</si>
  <si>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</si>
  <si>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</si>
  <si>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</si>
  <si>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</si>
  <si>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</si>
  <si>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</si>
  <si>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</si>
  <si>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</si>
  <si>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</si>
  <si>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</si>
  <si>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</si>
  <si>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</si>
  <si>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</si>
  <si>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</si>
  <si>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</si>
  <si>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</si>
  <si>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</si>
  <si>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</si>
  <si>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</si>
  <si>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</si>
  <si>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</si>
  <si>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</si>
  <si>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</si>
  <si>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</si>
  <si>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</si>
  <si>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</si>
  <si>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</si>
  <si>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</si>
  <si>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</si>
  <si>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</si>
  <si>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</si>
  <si>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</si>
  <si>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</si>
  <si>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</si>
  <si>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</si>
  <si>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</si>
  <si>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</si>
  <si>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</si>
  <si>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</si>
  <si>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</si>
  <si>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</si>
  <si>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</si>
  <si>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</si>
  <si>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</si>
  <si>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</si>
  <si>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</si>
  <si>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</si>
  <si>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</si>
  <si>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</si>
  <si>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</si>
  <si>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</si>
  <si>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</si>
  <si>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</si>
  <si>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</si>
  <si>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</si>
  <si>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</si>
  <si>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</si>
  <si>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</si>
  <si>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</si>
  <si>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</si>
  <si>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</si>
  <si>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</si>
  <si>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</si>
  <si>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</si>
  <si>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</si>
  <si>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</si>
  <si>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</si>
  <si>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</si>
  <si>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</si>
  <si>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</si>
  <si>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</si>
  <si>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</si>
  <si>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</si>
  <si>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</si>
  <si>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</si>
  <si>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</si>
  <si>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</si>
  <si>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</si>
  <si>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</si>
  <si>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</si>
  <si>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</si>
  <si>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</si>
  <si>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</si>
  <si>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</si>
  <si>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</si>
  <si>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</si>
  <si>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</si>
  <si>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</si>
  <si>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</si>
  <si>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</si>
  <si>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</si>
  <si>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</si>
  <si>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</si>
  <si>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</si>
  <si>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</si>
  <si>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</si>
  <si>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</si>
  <si>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</si>
  <si>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</si>
  <si>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</si>
  <si>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</si>
  <si>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</si>
  <si>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</si>
  <si>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</si>
  <si>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</si>
  <si>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</si>
  <si>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</si>
  <si>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</si>
  <si>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</si>
  <si>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</si>
  <si>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</si>
  <si>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</si>
  <si>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</si>
  <si>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</si>
  <si>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</si>
  <si>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</si>
  <si>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</si>
  <si>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</si>
  <si>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</si>
  <si>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</si>
  <si>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</si>
  <si>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</si>
  <si>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</si>
  <si>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</si>
  <si>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</si>
  <si>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</si>
  <si>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</si>
  <si>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</si>
  <si>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</si>
  <si>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</si>
  <si>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</si>
  <si>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</si>
  <si>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</si>
  <si>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</si>
  <si>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</si>
  <si>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</si>
  <si>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</si>
  <si>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</si>
  <si>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</si>
  <si>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</si>
  <si>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</si>
  <si>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</si>
  <si>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</si>
  <si>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</si>
  <si>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</si>
  <si>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</si>
  <si>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</si>
  <si>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</si>
  <si>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</si>
  <si>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</si>
  <si>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</si>
  <si>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</si>
  <si>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</si>
  <si>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</si>
  <si>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</si>
  <si>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</si>
  <si>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</si>
  <si>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</si>
  <si>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</si>
  <si>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</si>
  <si>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</si>
  <si>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</si>
  <si>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</si>
  <si>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</si>
  <si>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</si>
  <si>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</si>
  <si>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</si>
  <si>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</si>
  <si>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</si>
  <si>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</si>
  <si>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</si>
  <si>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</si>
  <si>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</si>
  <si>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</si>
  <si>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</si>
  <si>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</si>
  <si>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</si>
  <si>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</si>
  <si>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</si>
  <si>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</si>
  <si>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</si>
  <si>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</si>
  <si>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</si>
  <si>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</si>
  <si>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</si>
  <si>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</si>
  <si>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</si>
  <si>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</si>
  <si>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</si>
  <si>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</si>
  <si>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</si>
  <si>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</si>
  <si>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</si>
  <si>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</si>
  <si>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</si>
  <si>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</si>
  <si>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</si>
  <si>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</si>
  <si>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</si>
  <si>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</si>
  <si>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</si>
  <si>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</si>
  <si>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</si>
  <si>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</si>
  <si>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</si>
  <si>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</si>
  <si>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</si>
  <si>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</si>
  <si>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</si>
  <si>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</si>
  <si>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</si>
  <si>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</si>
  <si>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</si>
  <si>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</si>
  <si>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</si>
  <si>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</si>
  <si>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</si>
  <si>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</si>
  <si>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</si>
  <si>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</si>
  <si>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</si>
  <si>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</si>
  <si>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</si>
  <si>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</si>
  <si>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</si>
  <si>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</si>
  <si>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</si>
  <si>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</si>
  <si>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</si>
  <si>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</si>
  <si>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</si>
  <si>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</si>
  <si>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</si>
  <si>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</si>
  <si>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</si>
  <si>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</si>
  <si>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</si>
  <si>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</si>
  <si>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</si>
  <si>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</si>
  <si>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</si>
  <si>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</si>
  <si>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</si>
  <si>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</si>
  <si>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</si>
  <si>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</si>
  <si>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</si>
  <si>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</si>
  <si>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</si>
  <si>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</si>
  <si>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</si>
  <si>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</si>
  <si>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</si>
  <si>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</si>
  <si>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</si>
  <si>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</si>
  <si>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</si>
  <si>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</si>
  <si>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</si>
  <si>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</si>
  <si>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</si>
  <si>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</si>
  <si>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</si>
  <si>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</si>
  <si>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</si>
  <si>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</si>
  <si>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</si>
  <si>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</si>
  <si>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</si>
  <si>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</si>
  <si>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</si>
  <si>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</si>
  <si>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</si>
  <si>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</si>
  <si>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</si>
  <si>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</si>
  <si>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</si>
  <si>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</si>
  <si>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</si>
  <si>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</si>
  <si>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</si>
  <si>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</si>
  <si>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</si>
  <si>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</si>
  <si>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</si>
  <si>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</si>
  <si>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</si>
  <si>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</si>
  <si>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</si>
  <si>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</si>
  <si>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</si>
  <si>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</si>
  <si>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</si>
  <si>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</si>
  <si>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</si>
  <si>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</si>
  <si>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</si>
  <si>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</si>
  <si>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</si>
  <si>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</si>
  <si>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</si>
  <si>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</si>
  <si>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</si>
  <si>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</si>
  <si>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</si>
  <si>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</si>
  <si>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</si>
  <si>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</si>
  <si>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</si>
  <si>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</si>
  <si>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</si>
  <si>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</si>
  <si>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</si>
  <si>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</si>
  <si>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</si>
  <si>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</si>
  <si>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</si>
  <si>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</si>
  <si>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</si>
  <si>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</si>
  <si>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</si>
  <si>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</si>
  <si>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</si>
  <si>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</si>
  <si>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</si>
  <si>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</si>
  <si>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</si>
  <si>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</si>
  <si>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</si>
  <si>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</si>
  <si>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</si>
  <si>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</si>
  <si>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</si>
  <si>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</si>
  <si>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</si>
  <si>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</si>
  <si>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</si>
  <si>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</si>
  <si>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</si>
  <si>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</si>
  <si>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</si>
  <si>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</si>
  <si>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</si>
  <si>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</si>
  <si>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</si>
  <si>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</si>
  <si>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</si>
  <si>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</si>
  <si>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</si>
  <si>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</si>
  <si>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</si>
  <si>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</si>
  <si>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</si>
  <si>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</si>
  <si>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</si>
  <si>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</si>
  <si>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</si>
  <si>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</si>
  <si>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</si>
  <si>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</si>
  <si>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</si>
  <si>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</si>
  <si>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</si>
  <si>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</si>
  <si>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</si>
  <si>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</si>
  <si>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</si>
  <si>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</si>
  <si>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</si>
  <si>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</si>
  <si>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</si>
  <si>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</si>
  <si>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</si>
  <si>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</si>
  <si>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</si>
  <si>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</si>
  <si>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</si>
  <si>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</si>
  <si>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</si>
  <si>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</si>
  <si>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</si>
  <si>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</si>
  <si>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</si>
  <si>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</si>
  <si>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</si>
  <si>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</si>
  <si>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</si>
  <si>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</si>
  <si>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</si>
  <si>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</si>
  <si>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</si>
  <si>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</si>
  <si>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</si>
  <si>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</si>
  <si>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</si>
  <si>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</si>
  <si>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</si>
  <si>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</si>
  <si>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</si>
  <si>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</si>
  <si>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</si>
  <si>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</si>
  <si>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</si>
  <si>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</si>
  <si>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</si>
  <si>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</si>
  <si>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</si>
  <si>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</si>
  <si>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</si>
  <si>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</si>
  <si>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</si>
  <si>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</si>
  <si>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</si>
  <si>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</si>
  <si>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</si>
  <si>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</si>
  <si>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</si>
  <si>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</si>
  <si>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</si>
  <si>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</si>
  <si>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</si>
  <si>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</si>
  <si>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</si>
  <si>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</si>
  <si>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</si>
  <si>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</si>
  <si>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</si>
  <si>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</si>
  <si>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</si>
  <si>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</si>
  <si>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</si>
  <si>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</si>
  <si>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</si>
  <si>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</si>
  <si>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</si>
  <si>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</si>
  <si>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</si>
  <si>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</si>
  <si>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</si>
  <si>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</si>
  <si>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</si>
  <si>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</si>
  <si>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</si>
  <si>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</si>
  <si>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</si>
  <si>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</si>
  <si>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</si>
  <si>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</si>
  <si>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</si>
  <si>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</si>
  <si>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</si>
  <si>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</si>
  <si>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</si>
  <si>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</si>
  <si>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</si>
  <si>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</si>
  <si>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</si>
  <si>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</si>
  <si>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</si>
  <si>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</si>
  <si>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</si>
  <si>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</si>
  <si>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</si>
  <si>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</si>
  <si>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</si>
  <si>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</si>
  <si>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</si>
  <si>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</si>
  <si>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</si>
  <si>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</si>
  <si>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</si>
  <si>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</si>
  <si>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</si>
  <si>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</si>
  <si>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</si>
  <si>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</si>
  <si>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</si>
  <si>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</si>
  <si>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</si>
  <si>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</si>
  <si>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</si>
  <si>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</si>
  <si>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</si>
  <si>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</si>
  <si>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</si>
  <si>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</si>
  <si>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</si>
  <si>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</si>
  <si>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</si>
  <si>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</si>
  <si>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</si>
  <si>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</si>
  <si>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</si>
  <si>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</si>
  <si>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</si>
  <si>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</si>
  <si>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</si>
  <si>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</si>
  <si>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</si>
  <si>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</si>
  <si>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</si>
  <si>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</si>
  <si>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</si>
  <si>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</si>
  <si>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</si>
  <si>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</si>
  <si>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</si>
  <si>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</si>
  <si>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</si>
  <si>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</si>
  <si>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</si>
  <si>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</si>
  <si>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</si>
  <si>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</si>
  <si>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</si>
  <si>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</si>
  <si>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</si>
  <si>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</si>
  <si>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</si>
  <si>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</si>
  <si>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</si>
  <si>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</si>
  <si>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</si>
  <si>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</si>
  <si>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</si>
  <si>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</si>
  <si>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</si>
  <si>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</si>
  <si>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</si>
  <si>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</si>
  <si>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</si>
  <si>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</si>
  <si>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</si>
  <si>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</si>
  <si>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</si>
  <si>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</si>
  <si>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</si>
  <si>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</si>
  <si>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</si>
  <si>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</si>
  <si>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</si>
  <si>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</si>
  <si>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</si>
  <si>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</si>
  <si>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</si>
  <si>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</si>
  <si>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</si>
  <si>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</si>
  <si>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</si>
  <si>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</si>
  <si>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</si>
  <si>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</si>
  <si>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</si>
  <si>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</si>
  <si>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</si>
  <si>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</si>
  <si>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</si>
  <si>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</si>
  <si>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</si>
  <si>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</si>
  <si>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</si>
  <si>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</si>
  <si>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</si>
  <si>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</si>
  <si>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</si>
  <si>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</si>
  <si>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</si>
  <si>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</si>
  <si>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</si>
  <si>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</si>
  <si>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</si>
  <si>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</si>
  <si>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</si>
  <si>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</si>
  <si>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</si>
  <si>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</si>
  <si>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</si>
  <si>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</si>
  <si>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</si>
  <si>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</si>
  <si>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</si>
  <si>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</si>
  <si>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</si>
  <si>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</si>
  <si>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</si>
  <si>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</si>
  <si>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</si>
  <si>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</si>
  <si>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</si>
  <si>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</si>
  <si>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</si>
  <si>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</si>
  <si>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</si>
  <si>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</si>
  <si>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</si>
  <si>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</si>
  <si>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</si>
  <si>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</si>
  <si>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</si>
  <si>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</si>
  <si>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</si>
  <si>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</si>
  <si>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</si>
  <si>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</si>
  <si>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</si>
  <si>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</si>
  <si>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</si>
  <si>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</si>
  <si>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</si>
  <si>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</si>
  <si>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</si>
  <si>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</si>
  <si>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</si>
  <si>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</si>
  <si>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</si>
  <si>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</si>
  <si>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</si>
  <si>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</si>
  <si>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</si>
  <si>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</si>
  <si>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</si>
  <si>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</si>
  <si>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</si>
  <si>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</si>
  <si>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</si>
  <si>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</si>
  <si>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</si>
  <si>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</si>
  <si>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</si>
  <si>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</si>
  <si>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</si>
  <si>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</si>
  <si>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</si>
  <si>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</si>
  <si>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</si>
  <si>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</si>
  <si>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</si>
  <si>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</si>
  <si>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</si>
  <si>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</si>
  <si>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</si>
  <si>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</si>
  <si>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</si>
  <si>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</si>
  <si>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</si>
  <si>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</si>
  <si>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</si>
  <si>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</si>
  <si>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</si>
  <si>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</si>
  <si>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</si>
  <si>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</si>
  <si>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</si>
  <si>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</si>
  <si>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</si>
  <si>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</si>
  <si>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</si>
  <si>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</si>
  <si>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</si>
  <si>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</si>
  <si>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</si>
  <si>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</si>
  <si>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</si>
  <si>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</si>
  <si>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</si>
  <si>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</si>
  <si>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</si>
  <si>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</si>
  <si>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</si>
  <si>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</si>
  <si>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</si>
  <si>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</si>
  <si>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</si>
  <si>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</si>
  <si>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</si>
  <si>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</si>
  <si>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</si>
  <si>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</si>
  <si>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</si>
  <si>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</si>
  <si>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</si>
  <si>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</si>
  <si>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</si>
  <si>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</si>
  <si>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</si>
  <si>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</si>
  <si>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</si>
  <si>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</si>
  <si>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</si>
  <si>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</si>
  <si>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</si>
  <si>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</si>
  <si>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</si>
  <si>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</si>
  <si>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</si>
  <si>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</si>
  <si>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</si>
  <si>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</si>
  <si>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</si>
  <si>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</si>
  <si>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</si>
  <si>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</si>
  <si>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</si>
  <si>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</si>
  <si>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</si>
  <si>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</si>
  <si>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</si>
  <si>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</si>
  <si>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</si>
  <si>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</si>
  <si>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</si>
  <si>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</si>
  <si>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</si>
  <si>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</si>
  <si>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</si>
  <si>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</si>
  <si>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</si>
  <si>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</si>
  <si>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</si>
  <si>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</si>
  <si>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</si>
  <si>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</si>
  <si>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</si>
  <si>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</si>
  <si>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</si>
  <si>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</si>
  <si>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</si>
  <si>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</si>
  <si>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</si>
  <si>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</si>
  <si>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</si>
  <si>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</si>
  <si>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</si>
  <si>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</si>
  <si>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</si>
  <si>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</si>
  <si>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</si>
  <si>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</si>
  <si>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</si>
  <si>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</si>
  <si>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</si>
  <si>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</si>
  <si>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</si>
  <si>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</si>
  <si>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</si>
  <si>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</si>
  <si>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</si>
  <si>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</si>
  <si>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</si>
  <si>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</si>
  <si>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</si>
  <si>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</si>
  <si>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</si>
  <si>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</si>
  <si>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</si>
  <si>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</si>
  <si>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</si>
  <si>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</si>
  <si>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</si>
  <si>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</si>
  <si>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</si>
  <si>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</si>
  <si>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</si>
  <si>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</si>
  <si>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</si>
  <si>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</si>
  <si>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</si>
  <si>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</si>
  <si>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</si>
  <si>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</si>
  <si>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</si>
  <si>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</si>
  <si>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</si>
  <si>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</si>
  <si>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</si>
  <si>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</si>
  <si>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</si>
  <si>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</si>
  <si>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</si>
  <si>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</si>
  <si>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</si>
  <si>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</si>
  <si>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</si>
  <si>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</si>
  <si>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</si>
  <si>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</si>
  <si>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</si>
  <si>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</si>
  <si>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</si>
  <si>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</si>
  <si>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</si>
  <si>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</si>
  <si>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</si>
  <si>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</si>
  <si>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</si>
  <si>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</si>
  <si>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</si>
  <si>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</si>
  <si>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</si>
  <si>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</si>
  <si>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</si>
  <si>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</si>
  <si>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</si>
  <si>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</si>
  <si>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</si>
  <si>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</si>
  <si>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</si>
  <si>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</si>
  <si>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</si>
  <si>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</si>
  <si>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</si>
  <si>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</si>
  <si>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</si>
  <si>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</si>
  <si>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</si>
  <si>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</si>
  <si>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</si>
  <si>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</si>
  <si>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</si>
  <si>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</si>
  <si>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</si>
  <si>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</si>
  <si>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</si>
  <si>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</si>
  <si>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</si>
  <si>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</si>
  <si>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</si>
  <si>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</si>
  <si>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</si>
  <si>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</si>
  <si>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</si>
  <si>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</si>
  <si>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</si>
  <si>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</si>
  <si>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</si>
  <si>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</si>
  <si>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</si>
  <si>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</si>
  <si>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</si>
  <si>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</si>
  <si>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</si>
  <si>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</si>
  <si>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</si>
  <si>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</si>
  <si>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</si>
  <si>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</si>
  <si>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</si>
  <si>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</si>
  <si>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</si>
  <si>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</si>
  <si>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</si>
  <si>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</si>
  <si>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</si>
  <si>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</si>
  <si>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</si>
  <si>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</si>
  <si>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</si>
  <si>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</si>
  <si>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</si>
  <si>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</si>
  <si>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</si>
  <si>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</si>
  <si>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</si>
  <si>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</si>
  <si>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</si>
  <si>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</si>
  <si>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</si>
  <si>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</si>
  <si>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</si>
  <si>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</si>
  <si>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</si>
  <si>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</si>
  <si>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</si>
  <si>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</si>
  <si>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</si>
  <si>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</si>
  <si>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</si>
  <si>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</si>
  <si>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</si>
  <si>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</si>
  <si>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</si>
  <si>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</si>
  <si>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</si>
  <si>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</si>
  <si>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</si>
  <si>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</si>
  <si>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</si>
  <si>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</si>
  <si>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</si>
  <si>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</si>
  <si>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</si>
  <si>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</si>
  <si>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</si>
  <si>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</si>
  <si>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</si>
  <si>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</si>
  <si>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</si>
  <si>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</si>
  <si>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</si>
  <si>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</si>
  <si>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</si>
  <si>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</si>
  <si>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</si>
  <si>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</si>
  <si>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</si>
  <si>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</si>
  <si>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</si>
  <si>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</si>
  <si>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</si>
  <si>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</si>
  <si>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</si>
  <si>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</si>
  <si>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</si>
  <si>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</si>
  <si>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</si>
  <si>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</si>
  <si>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</si>
  <si>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</si>
  <si>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</si>
  <si>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</si>
  <si>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</si>
  <si>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</si>
  <si>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</si>
  <si>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</si>
  <si>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</si>
  <si>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</si>
  <si>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</si>
  <si>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</si>
  <si>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</si>
  <si>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</si>
  <si>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</si>
  <si>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</si>
  <si>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</si>
  <si>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</si>
  <si>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</si>
  <si>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</si>
  <si>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</si>
  <si>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</si>
  <si>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</si>
  <si>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</si>
  <si>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</si>
  <si>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</si>
  <si>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</si>
  <si>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</si>
  <si>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</si>
  <si>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</si>
  <si>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</si>
  <si>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</si>
  <si>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</si>
  <si>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</si>
  <si>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</si>
  <si>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</si>
  <si>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</si>
  <si>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</si>
  <si>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</si>
  <si>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</si>
  <si>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</si>
  <si>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</si>
  <si>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</si>
  <si>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</si>
  <si>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</si>
  <si>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</si>
  <si>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</si>
  <si>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</si>
  <si>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</si>
  <si>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</si>
  <si>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</si>
  <si>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</si>
  <si>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</si>
  <si>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</si>
  <si>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</si>
  <si>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</si>
  <si>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</si>
  <si>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</si>
  <si>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</si>
  <si>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</si>
  <si>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</si>
  <si>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</si>
  <si>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</si>
  <si>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</si>
  <si>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</si>
  <si>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</si>
  <si>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</si>
  <si>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</si>
  <si>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</si>
  <si>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</si>
  <si>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</si>
  <si>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</si>
  <si>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</si>
  <si>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</si>
  <si>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</si>
  <si>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</si>
  <si>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</si>
  <si>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</si>
  <si>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</si>
  <si>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</si>
  <si>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</si>
  <si>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</si>
  <si>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</si>
  <si>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</si>
  <si>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</si>
  <si>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</si>
  <si>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</si>
  <si>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</si>
  <si>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</si>
  <si>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</si>
  <si>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</si>
  <si>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</si>
  <si>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</si>
  <si>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</si>
  <si>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</si>
  <si>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</si>
  <si>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</si>
  <si>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</si>
  <si>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</si>
  <si>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</si>
  <si>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</si>
  <si>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</si>
  <si>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</si>
  <si>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</si>
  <si>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</si>
  <si>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</si>
  <si>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</si>
  <si>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</si>
  <si>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</si>
  <si>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</si>
  <si>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</si>
  <si>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</si>
  <si>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</si>
  <si>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</si>
  <si>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</si>
  <si>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</si>
  <si>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</si>
  <si>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</si>
  <si>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</si>
  <si>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</si>
  <si>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</si>
  <si>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</si>
  <si>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</si>
  <si>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</si>
  <si>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</si>
  <si>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</si>
  <si>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</si>
  <si>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</si>
  <si>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</si>
  <si>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</si>
  <si>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</si>
  <si>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</si>
  <si>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</si>
  <si>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</si>
  <si>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</si>
  <si>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</si>
  <si>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</si>
  <si>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</si>
  <si>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</si>
  <si>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</si>
  <si>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</si>
  <si>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</si>
  <si>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</si>
  <si>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</si>
  <si>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</si>
  <si>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</si>
  <si>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</si>
  <si>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</si>
  <si>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</si>
  <si>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</si>
  <si>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</si>
  <si>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</si>
  <si>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</si>
  <si>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</si>
  <si>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</si>
  <si>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</si>
  <si>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</si>
  <si>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</si>
  <si>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</si>
  <si>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</si>
  <si>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</si>
  <si>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</si>
  <si>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</si>
  <si>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</si>
  <si>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</si>
  <si>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</si>
  <si>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</si>
  <si>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</si>
  <si>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</si>
  <si>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</si>
  <si>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</si>
  <si>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</si>
  <si>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</si>
  <si>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</si>
  <si>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</si>
  <si>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</si>
  <si>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</si>
  <si>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</si>
  <si>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</si>
  <si>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</si>
  <si>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</si>
  <si>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</si>
  <si>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</si>
  <si>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</si>
  <si>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</si>
  <si>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</si>
  <si>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</si>
  <si>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</si>
  <si>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</si>
  <si>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</si>
  <si>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</si>
  <si>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</si>
  <si>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</si>
  <si>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</si>
  <si>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</si>
  <si>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</si>
  <si>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</si>
  <si>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</si>
  <si>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</si>
  <si>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</si>
  <si>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</si>
  <si>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</si>
  <si>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</si>
  <si>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</si>
  <si>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</si>
  <si>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</si>
  <si>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</si>
  <si>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</si>
  <si>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</si>
  <si>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</si>
  <si>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</si>
  <si>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</si>
  <si>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</si>
  <si>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</si>
  <si>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</si>
  <si>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</si>
  <si>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</si>
  <si>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</si>
  <si>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</si>
  <si>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</si>
  <si>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</si>
  <si>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</si>
  <si>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</si>
  <si>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</si>
  <si>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</si>
  <si>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</si>
  <si>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</si>
  <si>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</si>
  <si>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</si>
  <si>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</si>
  <si>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</si>
  <si>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</si>
  <si>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</si>
  <si>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</si>
  <si>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</si>
  <si>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</si>
  <si>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</si>
  <si>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</si>
  <si>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</si>
  <si>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</si>
  <si>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</si>
  <si>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</si>
  <si>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</si>
  <si>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</si>
  <si>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</si>
  <si>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</si>
  <si>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</si>
  <si>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</si>
  <si>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</si>
  <si>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</si>
  <si>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</si>
  <si>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</si>
  <si>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</si>
  <si>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</si>
  <si>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</si>
  <si>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</si>
  <si>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</si>
  <si>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</si>
  <si>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</si>
  <si>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</si>
  <si>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</si>
  <si>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</si>
  <si>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</si>
  <si>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</si>
  <si>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</si>
  <si>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</si>
  <si>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</si>
  <si>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</si>
  <si>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</si>
  <si>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</si>
  <si>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</si>
  <si>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</si>
  <si>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</si>
  <si>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</si>
  <si>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</si>
  <si>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</si>
  <si>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</si>
  <si>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</si>
  <si>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</si>
  <si>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</si>
  <si>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</si>
  <si>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</si>
  <si>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</si>
  <si>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</si>
  <si>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</si>
  <si>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</si>
  <si>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</si>
  <si>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</si>
  <si>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</si>
  <si>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</si>
  <si>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</si>
  <si>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</si>
  <si>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</si>
  <si>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</si>
  <si>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</si>
  <si>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</si>
  <si>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</si>
  <si>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</si>
  <si>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</si>
  <si>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</si>
  <si>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</si>
  <si>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</si>
  <si>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</si>
  <si>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</si>
  <si>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</si>
  <si>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</si>
  <si>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</si>
  <si>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</si>
  <si>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</si>
  <si>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</si>
  <si>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</si>
  <si>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</si>
  <si>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</si>
  <si>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</si>
  <si>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</si>
  <si>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</si>
  <si>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</si>
  <si>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</si>
  <si>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</si>
  <si>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</si>
  <si>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</si>
  <si>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</si>
  <si>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</si>
  <si>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</si>
  <si>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</si>
  <si>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</si>
  <si>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</si>
  <si>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</si>
  <si>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</si>
  <si>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</si>
  <si>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</si>
  <si>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</si>
  <si>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</si>
  <si>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</si>
  <si>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</si>
  <si>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</si>
  <si>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</si>
  <si>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</si>
  <si>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</si>
  <si>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</si>
  <si>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</si>
  <si>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</si>
  <si>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</si>
  <si>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</si>
  <si>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</si>
  <si>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</si>
  <si>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</si>
  <si>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</si>
  <si>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</si>
  <si>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</si>
  <si>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</si>
  <si>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</si>
  <si>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</si>
  <si>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</si>
  <si>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</si>
  <si>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</si>
  <si>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</si>
  <si>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</si>
  <si>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</si>
  <si>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</si>
  <si>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</si>
  <si>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</si>
  <si>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</si>
  <si>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</si>
  <si>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</si>
  <si>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</si>
  <si>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</si>
  <si>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</si>
  <si>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</si>
  <si>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</si>
  <si>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</si>
  <si>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</si>
  <si>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</si>
  <si>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</si>
  <si>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</si>
  <si>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</si>
  <si>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</si>
  <si>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</si>
  <si>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</si>
  <si>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</si>
  <si>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</si>
  <si>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</si>
  <si>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</si>
  <si>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</si>
  <si>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</si>
  <si>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</si>
  <si>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</si>
  <si>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</si>
  <si>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</si>
  <si>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</si>
  <si>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</si>
  <si>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</si>
  <si>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</si>
  <si>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</si>
  <si>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</si>
  <si>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</si>
  <si>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</si>
  <si>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</si>
  <si>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</si>
  <si>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</si>
  <si>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</si>
  <si>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</si>
  <si>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</si>
  <si>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</si>
  <si>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</si>
  <si>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</si>
  <si>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</si>
  <si>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</si>
  <si>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</si>
  <si>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</si>
  <si>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</si>
  <si>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</si>
  <si>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</si>
  <si>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</si>
  <si>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</si>
  <si>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</si>
  <si>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</si>
  <si>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</si>
  <si>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</si>
  <si>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</si>
  <si>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</si>
  <si>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</si>
  <si>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</si>
  <si>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</si>
  <si>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</si>
  <si>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</si>
  <si>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</si>
  <si>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</si>
  <si>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</si>
  <si>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</si>
  <si>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</si>
  <si>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</si>
  <si>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</si>
  <si>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</si>
  <si>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</si>
  <si>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</si>
  <si>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</si>
  <si>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</si>
  <si>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</si>
  <si>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</si>
  <si>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</si>
  <si>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</si>
  <si>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</si>
  <si>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</si>
  <si>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</si>
  <si>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</si>
  <si>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</si>
  <si>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</si>
  <si>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</si>
  <si>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</si>
  <si>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</si>
  <si>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</si>
  <si>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</si>
  <si>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</si>
  <si>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</si>
  <si>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</si>
  <si>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</si>
  <si>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</si>
  <si>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</si>
  <si>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</si>
  <si>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</si>
  <si>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</si>
  <si>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</si>
  <si>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</si>
  <si>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</si>
  <si>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</si>
  <si>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</si>
  <si>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</si>
  <si>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</si>
  <si>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</si>
  <si>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</si>
  <si>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</si>
  <si>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</si>
  <si>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</si>
  <si>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</si>
  <si>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</si>
  <si>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</si>
  <si>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</si>
  <si>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</si>
  <si>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</si>
  <si>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</si>
  <si>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</si>
  <si>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</si>
  <si>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</si>
  <si>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</si>
  <si>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</si>
  <si>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</si>
  <si>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</si>
  <si>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</si>
  <si>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</si>
  <si>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</si>
  <si>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</si>
  <si>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</si>
  <si>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</si>
  <si>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</si>
  <si>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</si>
  <si>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</si>
  <si>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</si>
  <si>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</si>
  <si>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</si>
  <si>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</si>
  <si>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</si>
  <si>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</si>
  <si>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</si>
  <si>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</si>
  <si>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</si>
  <si>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</si>
  <si>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</si>
  <si>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</si>
  <si>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</si>
  <si>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</si>
  <si>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</si>
  <si>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</si>
  <si>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</si>
  <si>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</si>
  <si>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</si>
  <si>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</si>
  <si>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</si>
  <si>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</si>
  <si>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</si>
  <si>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</si>
  <si>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</si>
  <si>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</si>
  <si>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</si>
  <si>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</si>
  <si>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</si>
  <si>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</si>
  <si>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</si>
  <si>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</si>
  <si>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</si>
  <si>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</si>
  <si>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</si>
  <si>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</si>
  <si>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</si>
  <si>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</si>
  <si>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</si>
  <si>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</si>
  <si>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</si>
  <si>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</si>
  <si>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</si>
  <si>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</si>
  <si>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</si>
  <si>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</si>
  <si>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</si>
  <si>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</si>
  <si>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</si>
  <si>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</si>
  <si>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</si>
  <si>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</si>
  <si>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</si>
  <si>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</si>
  <si>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</si>
  <si>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</si>
  <si>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</si>
  <si>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</si>
  <si>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</si>
  <si>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</si>
  <si>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</si>
  <si>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</si>
  <si>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</si>
  <si>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</si>
  <si>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</si>
  <si>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</si>
  <si>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</si>
  <si>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</si>
  <si>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</si>
  <si>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</si>
  <si>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</si>
  <si>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</si>
  <si>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</si>
  <si>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</si>
  <si>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</si>
  <si>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</si>
  <si>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</si>
  <si>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</si>
  <si>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</si>
  <si>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</si>
  <si>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</si>
  <si>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</si>
  <si>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</si>
  <si>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</si>
  <si>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</si>
  <si>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</si>
  <si>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</si>
  <si>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</si>
  <si>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</si>
  <si>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</si>
  <si>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</si>
  <si>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</si>
  <si>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</si>
  <si>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</si>
  <si>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</si>
  <si>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</si>
  <si>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</si>
  <si>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</si>
  <si>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</si>
  <si>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</si>
  <si>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</si>
  <si>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</si>
  <si>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</si>
  <si>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</si>
  <si>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</si>
  <si>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</si>
  <si>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</si>
  <si>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</si>
  <si>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</si>
  <si>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</si>
  <si>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</si>
  <si>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</si>
  <si>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</si>
  <si>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</si>
  <si>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</si>
  <si>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</si>
  <si>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</si>
  <si>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</si>
  <si>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</si>
  <si>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</si>
  <si>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</si>
  <si>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</si>
  <si>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</si>
  <si>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</si>
  <si>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</si>
  <si>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</si>
  <si>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</si>
  <si>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</si>
  <si>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</si>
  <si>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</si>
  <si>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</si>
  <si>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</si>
  <si>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</si>
  <si>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</si>
  <si>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</si>
  <si>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</si>
  <si>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</si>
  <si>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</si>
  <si>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</si>
  <si>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</si>
  <si>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</si>
  <si>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</si>
  <si>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</si>
  <si>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</si>
  <si>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</si>
  <si>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</si>
  <si>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</si>
  <si>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</si>
  <si>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</si>
  <si>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</si>
  <si>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</si>
  <si>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</si>
  <si>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</si>
  <si>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</si>
  <si>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</si>
  <si>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</si>
  <si>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</si>
  <si>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</si>
  <si>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</si>
  <si>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</si>
  <si>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</si>
  <si>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</si>
  <si>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</si>
  <si>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</si>
  <si>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</si>
  <si>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</si>
  <si>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</si>
  <si>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</si>
  <si>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</si>
  <si>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</si>
  <si>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</si>
  <si>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</si>
  <si>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</si>
  <si>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</si>
  <si>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</si>
  <si>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</si>
  <si>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</si>
  <si>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</si>
  <si>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</si>
  <si>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</si>
  <si>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</si>
  <si>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</si>
  <si>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</si>
  <si>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</si>
  <si>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</si>
  <si>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</si>
  <si>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</si>
  <si>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</si>
  <si>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</si>
  <si>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</si>
  <si>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</si>
  <si>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</si>
  <si>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</si>
  <si>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</si>
  <si>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</si>
  <si>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</si>
  <si>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</si>
  <si>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</si>
  <si>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</si>
  <si>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</si>
  <si>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</si>
  <si>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</si>
  <si>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</si>
  <si>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</si>
  <si>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</si>
  <si>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</si>
  <si>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</si>
  <si>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</si>
  <si>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</si>
  <si>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</si>
  <si>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</si>
  <si>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</si>
  <si>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</si>
  <si>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</si>
  <si>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</si>
  <si>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</si>
  <si>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</si>
  <si>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</si>
  <si>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</si>
  <si>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</si>
  <si>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</si>
  <si>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</si>
  <si>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</si>
  <si>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</si>
  <si>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</si>
  <si>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</si>
  <si>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</si>
  <si>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</si>
  <si>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</si>
  <si>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</si>
  <si>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</si>
  <si>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</si>
  <si>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</si>
  <si>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</si>
  <si>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</si>
  <si>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</si>
  <si>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</si>
  <si>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</si>
  <si>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</si>
  <si>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</si>
  <si>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</si>
  <si>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</si>
  <si>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</si>
  <si>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</si>
  <si>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</si>
  <si>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</si>
  <si>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</si>
  <si>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</si>
  <si>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</si>
  <si>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</si>
  <si>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</si>
  <si>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</si>
  <si>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</si>
  <si>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</si>
  <si>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</si>
  <si>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</si>
  <si>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</si>
  <si>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</si>
  <si>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</si>
  <si>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</si>
  <si>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</si>
  <si>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</si>
  <si>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</si>
  <si>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</si>
  <si>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</si>
  <si>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</si>
  <si>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</si>
  <si>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</si>
  <si>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</si>
  <si>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</si>
  <si>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</si>
  <si>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</si>
  <si>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</si>
  <si>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</si>
  <si>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</si>
  <si>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</si>
  <si>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</si>
  <si>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</si>
  <si>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</si>
  <si>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</si>
  <si>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</si>
  <si>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</si>
  <si>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</si>
  <si>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</si>
  <si>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</si>
  <si>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</si>
  <si>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</si>
  <si>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</si>
  <si>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</si>
  <si>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</si>
  <si>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</si>
  <si>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</si>
  <si>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</si>
  <si>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</si>
  <si>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</si>
  <si>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</si>
  <si>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</si>
  <si>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</si>
  <si>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</si>
  <si>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</si>
  <si>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</si>
  <si>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</si>
  <si>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</si>
  <si>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</si>
  <si>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</si>
  <si>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</si>
  <si>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</si>
  <si>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</si>
  <si>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</si>
  <si>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</si>
  <si>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</si>
  <si>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</si>
  <si>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</si>
  <si>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</si>
  <si>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</si>
  <si>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</si>
  <si>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</si>
  <si>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</si>
  <si>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</si>
  <si>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</si>
  <si>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</si>
  <si>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</si>
  <si>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</si>
  <si>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</si>
  <si>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</si>
  <si>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</si>
  <si>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</si>
  <si>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</si>
  <si>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</si>
  <si>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</si>
  <si>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</si>
  <si>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</si>
  <si>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</si>
  <si>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</si>
  <si>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</si>
  <si>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</si>
  <si>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</si>
  <si>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</si>
  <si>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</si>
  <si>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</si>
  <si>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</si>
  <si>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</si>
  <si>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</si>
  <si>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</si>
  <si>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</si>
  <si>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</si>
  <si>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</si>
  <si>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</si>
  <si>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</si>
  <si>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</si>
  <si>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</si>
  <si>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</si>
  <si>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</si>
  <si>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</si>
  <si>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</si>
  <si>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</si>
  <si>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</si>
  <si>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</si>
  <si>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</si>
  <si>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</si>
  <si>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</si>
  <si>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</si>
  <si>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</si>
  <si>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</si>
  <si>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</si>
  <si>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</si>
  <si>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</si>
  <si>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</si>
  <si>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</si>
  <si>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</si>
  <si>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</si>
  <si>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</si>
  <si>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</si>
  <si>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</si>
  <si>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</si>
  <si>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</si>
  <si>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</si>
  <si>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</si>
  <si>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</si>
  <si>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</si>
  <si>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</si>
  <si>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</si>
  <si>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</si>
  <si>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</si>
  <si>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</si>
  <si>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</si>
  <si>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</si>
  <si>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</si>
  <si>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</si>
  <si>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</si>
  <si>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</si>
  <si>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</si>
  <si>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</si>
  <si>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</si>
  <si>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</si>
  <si>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</si>
  <si>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</si>
  <si>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</si>
  <si>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</si>
  <si>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</si>
  <si>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</si>
  <si>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</si>
  <si>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</si>
  <si>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</si>
  <si>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</si>
  <si>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</si>
  <si>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</si>
  <si>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</si>
  <si>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</si>
  <si>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</si>
  <si>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</si>
  <si>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</si>
  <si>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</si>
  <si>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</si>
  <si>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</si>
  <si>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</si>
  <si>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</si>
  <si>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</si>
  <si>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</si>
  <si>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</si>
  <si>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</si>
  <si>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</si>
  <si>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</si>
  <si>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</si>
  <si>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</si>
  <si>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</si>
  <si>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</si>
  <si>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</si>
  <si>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</si>
  <si>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</si>
  <si>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</si>
  <si>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</si>
  <si>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</si>
  <si>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</si>
  <si>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</si>
  <si>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</si>
  <si>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</si>
  <si>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</si>
  <si>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</si>
  <si>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</si>
  <si>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</si>
  <si>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</si>
  <si>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</si>
  <si>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</si>
  <si>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</si>
  <si>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</si>
  <si>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</si>
  <si>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</si>
  <si>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</si>
  <si>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</si>
  <si>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</si>
  <si>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</si>
  <si>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</si>
  <si>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</si>
  <si>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</si>
  <si>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</si>
  <si>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</si>
  <si>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</si>
  <si>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</si>
  <si>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</si>
  <si>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</si>
  <si>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</si>
  <si>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</si>
  <si>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</si>
  <si>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</si>
  <si>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</si>
  <si>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</si>
  <si>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</si>
  <si>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</si>
  <si>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</si>
  <si>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</si>
  <si>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</si>
  <si>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</si>
  <si>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</si>
  <si>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</si>
  <si>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</si>
  <si>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</si>
  <si>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</si>
  <si>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</si>
  <si>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</si>
  <si>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</si>
  <si>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</si>
  <si>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</si>
  <si>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</si>
  <si>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</si>
  <si>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</si>
  <si>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</si>
  <si>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</si>
  <si>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</si>
  <si>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</si>
  <si>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</si>
  <si>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</si>
  <si>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</si>
  <si>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</si>
  <si>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</si>
  <si>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</si>
  <si>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</si>
  <si>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</si>
  <si>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</si>
  <si>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</si>
  <si>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</si>
  <si>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</si>
  <si>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</si>
  <si>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</si>
  <si>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</si>
  <si>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</si>
  <si>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</si>
  <si>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</si>
  <si>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</si>
  <si>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</si>
  <si>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</si>
  <si>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</si>
  <si>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</si>
  <si>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</si>
  <si>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</si>
  <si>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</si>
  <si>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</si>
  <si>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</si>
  <si>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</si>
  <si>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</si>
  <si>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</si>
  <si>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</si>
  <si>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</si>
  <si>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</si>
  <si>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</si>
  <si>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</si>
  <si>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</si>
  <si>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</si>
  <si>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</si>
  <si>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</si>
  <si>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</si>
  <si>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</si>
  <si>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</si>
  <si>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</si>
  <si>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</si>
  <si>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</si>
  <si>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</si>
  <si>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</si>
  <si>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</si>
  <si>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</si>
  <si>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</si>
  <si>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</si>
  <si>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</si>
  <si>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</si>
  <si>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</si>
  <si>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</si>
  <si>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</si>
  <si>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</si>
  <si>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</si>
  <si>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</si>
  <si>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</si>
  <si>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</si>
  <si>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</si>
  <si>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</si>
  <si>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</si>
  <si>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</si>
  <si>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</si>
  <si>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</si>
  <si>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</si>
  <si>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</si>
  <si>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</si>
  <si>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</si>
  <si>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</si>
  <si>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</si>
  <si>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</si>
  <si>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</si>
  <si>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</si>
  <si>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</si>
  <si>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</si>
  <si>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</si>
  <si>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</si>
  <si>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</si>
  <si>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</si>
  <si>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</si>
  <si>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</si>
  <si>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</si>
  <si>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</si>
  <si>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</si>
  <si>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</si>
  <si>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</si>
  <si>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</si>
  <si>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</si>
  <si>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</si>
  <si>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</si>
  <si>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</si>
  <si>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</si>
  <si>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</si>
  <si>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</si>
  <si>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</si>
  <si>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</si>
  <si>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</si>
  <si>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</si>
  <si>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</si>
  <si>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</si>
  <si>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</si>
  <si>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</si>
  <si>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</si>
  <si>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</si>
  <si>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</si>
  <si>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</si>
  <si>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</si>
  <si>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</si>
  <si>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</si>
  <si>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</si>
  <si>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</si>
  <si>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</si>
  <si>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</si>
  <si>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</si>
  <si>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</si>
  <si>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</si>
  <si>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</si>
  <si>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</si>
  <si>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</si>
  <si>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</si>
  <si>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</si>
  <si>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</si>
  <si>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</si>
  <si>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</si>
  <si>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</si>
  <si>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</si>
  <si>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</si>
  <si>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</si>
  <si>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</si>
  <si>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</si>
  <si>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</si>
  <si>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</si>
  <si>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</si>
  <si>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</si>
  <si>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</si>
  <si>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</si>
  <si>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</si>
  <si>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</si>
  <si>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</si>
  <si>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</si>
  <si>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</si>
  <si>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</si>
  <si>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</si>
  <si>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</si>
  <si>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</si>
  <si>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</si>
  <si>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</si>
  <si>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</si>
  <si>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</si>
  <si>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</si>
  <si>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</si>
  <si>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</si>
  <si>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</si>
  <si>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</si>
  <si>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</si>
  <si>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</si>
  <si>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</si>
  <si>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</si>
  <si>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</si>
  <si>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</si>
  <si>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</si>
  <si>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</si>
  <si>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</si>
  <si>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</si>
  <si>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</si>
  <si>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</si>
  <si>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</si>
  <si>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</si>
  <si>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</si>
  <si>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</si>
  <si>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</si>
  <si>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</si>
  <si>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</si>
  <si>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</si>
  <si>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</si>
  <si>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</si>
  <si>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</si>
  <si>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</si>
  <si>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</si>
  <si>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</si>
  <si>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</si>
  <si>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</si>
  <si>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</si>
  <si>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</si>
  <si>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</si>
  <si>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</si>
  <si>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</si>
  <si>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</si>
  <si>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</si>
  <si>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</si>
  <si>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</si>
  <si>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</si>
  <si>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</si>
  <si>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</si>
  <si>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</si>
  <si>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</si>
  <si>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</si>
  <si>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</si>
  <si>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</si>
  <si>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</si>
  <si>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</si>
  <si>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</si>
  <si>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</si>
  <si>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</si>
  <si>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</si>
  <si>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</si>
  <si>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</si>
  <si>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</si>
  <si>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</si>
  <si>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</si>
  <si>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</si>
  <si>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</si>
  <si>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</si>
  <si>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</si>
  <si>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</si>
  <si>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</si>
  <si>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</si>
  <si>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</si>
  <si>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</si>
  <si>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</si>
  <si>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</si>
  <si>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</si>
  <si>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</si>
  <si>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</si>
  <si>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</si>
  <si>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</si>
  <si>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</si>
  <si>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</si>
  <si>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</si>
  <si>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</si>
  <si>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</si>
  <si>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</si>
  <si>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</si>
  <si>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</si>
  <si>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</si>
  <si>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</si>
  <si>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</si>
  <si>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</si>
  <si>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</si>
  <si>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</si>
  <si>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</si>
  <si>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</si>
  <si>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</si>
  <si>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</si>
  <si>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</si>
  <si>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</si>
  <si>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</si>
  <si>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</si>
  <si>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</si>
  <si>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</si>
  <si>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</si>
  <si>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</si>
  <si>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</si>
  <si>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</si>
  <si>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</si>
  <si>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</si>
  <si>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</si>
  <si>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</si>
  <si>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</si>
  <si>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</si>
  <si>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</si>
  <si>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</si>
  <si>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</si>
  <si>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</si>
  <si>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</si>
  <si>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</si>
  <si>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</si>
  <si>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</si>
  <si>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</si>
  <si>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</si>
  <si>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</si>
  <si>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</si>
  <si>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</si>
  <si>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</si>
  <si>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</si>
  <si>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</si>
  <si>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</si>
  <si>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</si>
  <si>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</si>
  <si>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</si>
  <si>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</si>
  <si>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</si>
  <si>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</si>
  <si>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</si>
  <si>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</si>
  <si>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</si>
  <si>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</si>
  <si>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</si>
  <si>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</si>
  <si>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</si>
  <si>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</si>
  <si>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</si>
  <si>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</si>
  <si>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</si>
  <si>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</si>
  <si>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</si>
  <si>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</si>
  <si>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</si>
  <si>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</si>
  <si>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</si>
  <si>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</si>
  <si>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</si>
  <si>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</si>
  <si>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</si>
  <si>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</si>
  <si>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</si>
  <si>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</si>
  <si>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</si>
  <si>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</si>
  <si>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</si>
  <si>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</si>
  <si>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</si>
  <si>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</si>
  <si>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</si>
  <si>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</si>
  <si>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</si>
  <si>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</si>
  <si>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</si>
  <si>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</si>
  <si>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</si>
  <si>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</si>
  <si>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</si>
  <si>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</si>
  <si>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</si>
  <si>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</si>
  <si>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</si>
  <si>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</si>
  <si>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</si>
  <si>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</si>
  <si>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</si>
  <si>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</si>
  <si>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</si>
  <si>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</si>
  <si>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</si>
  <si>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</si>
  <si>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</si>
  <si>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</si>
  <si>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</si>
  <si>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</si>
  <si>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</si>
  <si>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</si>
  <si>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</si>
  <si>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</si>
  <si>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</si>
  <si>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</si>
  <si>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</si>
  <si>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</si>
  <si>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</si>
  <si>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</si>
  <si>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</si>
  <si>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</si>
  <si>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</si>
  <si>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</si>
  <si>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</si>
  <si>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</si>
  <si>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</si>
  <si>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</si>
  <si>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</si>
  <si>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</si>
  <si>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</si>
  <si>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</si>
  <si>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</si>
  <si>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</si>
  <si>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</si>
  <si>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</si>
  <si>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</si>
  <si>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</si>
  <si>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</si>
  <si>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</si>
  <si>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</si>
  <si>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</si>
  <si>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</si>
  <si>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</si>
  <si>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</si>
  <si>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</si>
  <si>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</si>
  <si>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</si>
  <si>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</si>
  <si>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</si>
  <si>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</si>
  <si>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</si>
  <si>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</si>
  <si>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</si>
  <si>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</si>
  <si>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</si>
  <si>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</si>
  <si>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</si>
  <si>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</si>
  <si>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</si>
  <si>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</si>
  <si>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</si>
  <si>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</si>
  <si>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</si>
  <si>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</si>
  <si>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</si>
  <si>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</si>
  <si>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</si>
  <si>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</si>
  <si>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</si>
  <si>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</si>
  <si>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</si>
  <si>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</si>
  <si>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</si>
  <si>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</si>
  <si>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</si>
  <si>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</si>
  <si>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</si>
  <si>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</si>
  <si>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</si>
  <si>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</si>
  <si>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</si>
  <si>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</si>
  <si>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</si>
  <si>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</si>
  <si>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</si>
  <si>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</si>
  <si>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</si>
  <si>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</si>
  <si>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</si>
  <si>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</si>
  <si>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</si>
  <si>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</si>
  <si>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</si>
  <si>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</si>
  <si>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</si>
  <si>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</si>
  <si>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</si>
  <si>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</si>
  <si>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</si>
  <si>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</si>
  <si>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</si>
  <si>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</si>
  <si>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</si>
  <si>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</si>
  <si>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</si>
  <si>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</si>
  <si>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</si>
  <si>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</si>
  <si>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</si>
  <si>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</si>
  <si>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</si>
  <si>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</si>
  <si>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</si>
  <si>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</si>
  <si>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</si>
  <si>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</si>
  <si>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</si>
  <si>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</si>
  <si>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</si>
  <si>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</si>
  <si>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</si>
  <si>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</si>
  <si>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</si>
  <si>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</si>
  <si>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</si>
  <si>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</si>
  <si>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</si>
  <si>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</si>
  <si>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</si>
  <si>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</si>
  <si>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</si>
  <si>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</si>
  <si>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</si>
  <si>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</si>
  <si>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</si>
  <si>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</si>
  <si>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</si>
  <si>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</si>
  <si>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</si>
  <si>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</si>
  <si>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</si>
  <si>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</si>
  <si>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</si>
  <si>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</si>
  <si>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</si>
  <si>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</si>
  <si>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</si>
  <si>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</si>
  <si>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</si>
  <si>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</si>
  <si>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</si>
  <si>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</si>
  <si>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</si>
  <si>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</si>
  <si>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</si>
  <si>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</si>
  <si>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</si>
  <si>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</si>
  <si>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</si>
  <si>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</si>
  <si>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</si>
  <si>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</si>
  <si>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</si>
  <si>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</si>
  <si>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</si>
  <si>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</si>
  <si>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</si>
  <si>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</si>
  <si>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</si>
  <si>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</si>
  <si>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</si>
  <si>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</si>
  <si>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</si>
  <si>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</si>
  <si>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</si>
  <si>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</si>
  <si>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</si>
  <si>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</si>
  <si>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</si>
  <si>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</si>
  <si>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</si>
  <si>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</si>
  <si>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</si>
  <si>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</si>
  <si>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</si>
  <si>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</si>
  <si>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</si>
  <si>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</si>
  <si>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</si>
  <si>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</si>
  <si>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</si>
  <si>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</si>
  <si>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</si>
  <si>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</si>
  <si>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</si>
  <si>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</si>
  <si>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</si>
  <si>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</si>
  <si>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</si>
  <si>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</si>
  <si>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</si>
  <si>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</si>
  <si>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</si>
  <si>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</si>
  <si>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</si>
  <si>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</si>
  <si>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</si>
  <si>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</si>
  <si>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</si>
  <si>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</si>
  <si>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</si>
  <si>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</si>
  <si>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</si>
  <si>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</si>
  <si>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</si>
  <si>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</si>
  <si>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</si>
  <si>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</si>
  <si>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</si>
  <si>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</si>
  <si>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</si>
  <si>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</si>
  <si>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</si>
  <si>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</si>
  <si>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</si>
  <si>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</si>
  <si>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</si>
  <si>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</si>
  <si>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</si>
  <si>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</si>
  <si>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</si>
  <si>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</si>
  <si>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</si>
  <si>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</si>
  <si>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</si>
  <si>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</si>
  <si>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</si>
  <si>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</si>
  <si>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</si>
  <si>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</si>
  <si>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</si>
  <si>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</si>
  <si>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</si>
  <si>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</si>
  <si>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</si>
  <si>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</si>
  <si>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</si>
  <si>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</si>
  <si>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</si>
  <si>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</si>
  <si>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</si>
  <si>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</si>
  <si>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</si>
  <si>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</si>
  <si>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</si>
  <si>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</si>
  <si>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</si>
  <si>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</si>
  <si>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</si>
  <si>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</si>
  <si>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</si>
  <si>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</si>
  <si>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</si>
  <si>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</si>
  <si>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</si>
  <si>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</si>
  <si>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</si>
  <si>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</si>
  <si>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</si>
  <si>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</si>
  <si>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</si>
  <si>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</si>
  <si>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</si>
  <si>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</si>
  <si>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</si>
  <si>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</si>
  <si>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</si>
  <si>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</si>
  <si>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</si>
  <si>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</si>
  <si>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</si>
  <si>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</si>
  <si>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</si>
  <si>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</si>
  <si>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</si>
  <si>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</si>
  <si>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</si>
  <si>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</si>
  <si>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</si>
  <si>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</si>
  <si>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</si>
  <si>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</si>
  <si>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</si>
  <si>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</si>
  <si>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</si>
  <si>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</si>
  <si>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</si>
  <si>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</si>
  <si>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</si>
  <si>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</si>
  <si>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</si>
  <si>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</si>
  <si>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</si>
  <si>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</si>
  <si>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</si>
  <si>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</si>
  <si>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</si>
  <si>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</si>
  <si>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</si>
  <si>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</si>
  <si>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</si>
  <si>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</si>
  <si>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</si>
  <si>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</si>
  <si>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</si>
  <si>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</si>
  <si>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</si>
  <si>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</si>
  <si>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</si>
  <si>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</si>
  <si>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</si>
  <si>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</si>
  <si>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</si>
  <si>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</si>
  <si>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</si>
  <si>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</si>
  <si>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</si>
  <si>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</si>
  <si>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</si>
  <si>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</si>
  <si>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</si>
  <si>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</si>
  <si>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</si>
  <si>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</si>
  <si>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</si>
  <si>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</si>
  <si>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</si>
  <si>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</si>
  <si>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</si>
  <si>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</si>
  <si>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</si>
  <si>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</si>
  <si>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</si>
  <si>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</si>
  <si>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</si>
  <si>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</si>
  <si>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</si>
  <si>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</si>
  <si>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</si>
  <si>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</si>
  <si>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</si>
  <si>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</si>
  <si>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</si>
  <si>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</si>
  <si>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</si>
  <si>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</si>
  <si>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</si>
  <si>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</si>
  <si>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</si>
  <si>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</si>
  <si>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</si>
  <si>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</si>
  <si>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</si>
  <si>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</si>
  <si>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</si>
  <si>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</si>
  <si>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</si>
  <si>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</si>
  <si>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</si>
  <si>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</si>
  <si>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</si>
  <si>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</si>
  <si>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</si>
  <si>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</si>
  <si>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</si>
  <si>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</si>
  <si>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</si>
  <si>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</si>
  <si>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</si>
  <si>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</si>
  <si>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</si>
  <si>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</si>
  <si>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</si>
  <si>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</si>
  <si>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</si>
  <si>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</si>
  <si>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</si>
  <si>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</si>
  <si>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</si>
  <si>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</si>
  <si>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</si>
  <si>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</si>
  <si>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</si>
  <si>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</si>
  <si>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</si>
  <si>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</si>
  <si>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</si>
  <si>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</si>
  <si>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</si>
  <si>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</si>
  <si>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</si>
  <si>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</si>
  <si>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</si>
  <si>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</si>
  <si>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</si>
  <si>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</si>
  <si>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</si>
  <si>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</si>
  <si>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</si>
  <si>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</si>
  <si>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</si>
  <si>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</si>
  <si>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</si>
  <si>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</si>
  <si>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</si>
  <si>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</si>
  <si>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</si>
  <si>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</si>
  <si>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</si>
  <si>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</si>
  <si>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</si>
  <si>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</si>
  <si>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</si>
  <si>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</si>
  <si>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</si>
  <si>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</si>
  <si>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</si>
  <si>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</si>
  <si>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</si>
  <si>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</si>
  <si>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</si>
  <si>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</si>
  <si>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</si>
  <si>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</si>
  <si>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</si>
  <si>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</si>
  <si>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</si>
  <si>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</si>
  <si>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</si>
  <si>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</si>
  <si>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</si>
  <si>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</si>
  <si>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</si>
  <si>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</si>
  <si>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</si>
  <si>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</si>
  <si>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</si>
  <si>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</si>
  <si>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</si>
  <si>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</si>
  <si>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</si>
  <si>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</si>
  <si>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</si>
  <si>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</si>
  <si>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</si>
  <si>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</si>
  <si>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</si>
  <si>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</si>
  <si>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</si>
  <si>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</si>
  <si>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</si>
  <si>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</si>
  <si>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</si>
  <si>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</si>
  <si>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</si>
  <si>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</si>
  <si>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</si>
  <si>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</si>
  <si>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</si>
  <si>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</si>
  <si>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</si>
  <si>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</si>
  <si>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</si>
  <si>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</si>
  <si>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</si>
  <si>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</si>
  <si>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</si>
  <si>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</si>
  <si>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</si>
  <si>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</si>
  <si>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</si>
  <si>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</si>
  <si>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</si>
  <si>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</si>
  <si>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</si>
  <si>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</si>
  <si>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</si>
  <si>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</si>
  <si>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</si>
  <si>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</si>
  <si>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</si>
  <si>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</si>
  <si>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</si>
  <si>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</si>
  <si>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</si>
  <si>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</si>
  <si>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</si>
  <si>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</si>
  <si>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</si>
  <si>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</si>
  <si>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</si>
  <si>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</si>
  <si>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</si>
  <si>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</si>
  <si>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</si>
  <si>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</si>
  <si>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</si>
  <si>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</si>
  <si>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</si>
  <si>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</si>
  <si>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</si>
  <si>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</si>
  <si>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</si>
  <si>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</si>
  <si>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</si>
  <si>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</si>
  <si>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</si>
  <si>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</si>
  <si>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</si>
  <si>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</si>
  <si>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</si>
  <si>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</si>
  <si>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</si>
  <si>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</si>
  <si>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</si>
  <si>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</si>
  <si>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</si>
  <si>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</si>
  <si>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</si>
  <si>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</si>
  <si>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</si>
  <si>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</si>
  <si>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</si>
  <si>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</si>
  <si>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</si>
  <si>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</si>
  <si>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</si>
  <si>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</si>
  <si>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</si>
  <si>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</si>
  <si>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</si>
  <si>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</si>
  <si>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</si>
  <si>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</si>
  <si>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</si>
  <si>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</si>
  <si>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</si>
  <si>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</si>
  <si>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</si>
  <si>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</si>
  <si>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</si>
  <si>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</si>
  <si>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</si>
  <si>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</si>
  <si>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</si>
  <si>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</si>
  <si>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</si>
  <si>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</si>
  <si>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</si>
  <si>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</si>
  <si>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</si>
  <si>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</si>
  <si>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</si>
  <si>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</si>
  <si>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</si>
  <si>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</si>
  <si>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</si>
  <si>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</si>
  <si>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</si>
  <si>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</si>
  <si>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</si>
  <si>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</si>
  <si>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</si>
  <si>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</si>
  <si>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</si>
  <si>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</si>
  <si>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</si>
  <si>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</si>
  <si>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</si>
  <si>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</si>
  <si>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</si>
  <si>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</si>
  <si>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</si>
  <si>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</si>
  <si>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</si>
  <si>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</si>
  <si>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</si>
  <si>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</si>
  <si>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</si>
  <si>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</si>
  <si>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</si>
  <si>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</si>
  <si>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</si>
  <si>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</si>
  <si>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</si>
  <si>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</si>
  <si>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</si>
  <si>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</si>
  <si>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</si>
  <si>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</si>
  <si>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</si>
  <si>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</si>
  <si>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</si>
  <si>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</si>
  <si>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</si>
  <si>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</si>
  <si>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</si>
  <si>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</si>
  <si>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</si>
  <si>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</si>
  <si>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</si>
  <si>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</si>
  <si>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</si>
  <si>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</si>
  <si>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</si>
  <si>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</si>
  <si>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</si>
  <si>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</si>
  <si>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</si>
  <si>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</si>
  <si>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</si>
  <si>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</si>
  <si>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</si>
  <si>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</si>
  <si>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</si>
  <si>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</si>
  <si>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</si>
  <si>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</si>
  <si>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</si>
  <si>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</si>
  <si>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</si>
  <si>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</si>
  <si>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</si>
  <si>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</si>
  <si>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</si>
  <si>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</si>
  <si>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</si>
  <si>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</si>
  <si>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</si>
  <si>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</si>
  <si>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</si>
  <si>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</si>
  <si>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</si>
  <si>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</si>
  <si>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</si>
  <si>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</si>
  <si>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</si>
  <si>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</si>
  <si>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</si>
  <si>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</si>
  <si>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</si>
  <si>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</si>
  <si>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</si>
  <si>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</si>
  <si>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</si>
  <si>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</si>
  <si>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</si>
  <si>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</si>
  <si>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</si>
  <si>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</si>
  <si>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</si>
  <si>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</si>
  <si>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</si>
  <si>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</si>
  <si>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</si>
  <si>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</si>
  <si>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</si>
  <si>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</si>
  <si>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</si>
  <si>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</si>
  <si>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</si>
  <si>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</si>
  <si>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</si>
  <si>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</si>
  <si>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</si>
  <si>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</si>
  <si>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</si>
  <si>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</si>
  <si>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</si>
  <si>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</si>
  <si>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</si>
  <si>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</si>
  <si>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</si>
  <si>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</si>
  <si>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</si>
  <si>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</si>
  <si>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</si>
  <si>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</si>
  <si>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</si>
  <si>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</si>
  <si>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</si>
  <si>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</si>
  <si>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</si>
  <si>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</si>
  <si>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</si>
  <si>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</si>
  <si>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</si>
  <si>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</si>
  <si>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</si>
  <si>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</si>
  <si>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</si>
  <si>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</si>
  <si>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</si>
  <si>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</si>
  <si>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</si>
  <si>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</si>
  <si>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</si>
  <si>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</si>
  <si>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</si>
  <si>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</si>
  <si>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</si>
  <si>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</si>
  <si>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</si>
  <si>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</si>
  <si>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</si>
  <si>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</si>
  <si>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</si>
  <si>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</si>
  <si>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</si>
  <si>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</si>
  <si>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</si>
  <si>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</si>
  <si>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</si>
  <si>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</si>
  <si>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</si>
  <si>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</si>
  <si>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</si>
  <si>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</si>
  <si>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</si>
  <si>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</si>
  <si>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</si>
  <si>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</si>
  <si>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</si>
  <si>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</si>
  <si>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</si>
  <si>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</si>
  <si>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</si>
  <si>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</si>
  <si>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</si>
  <si>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</si>
  <si>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</si>
  <si>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</si>
  <si>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</si>
  <si>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</si>
  <si>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</si>
  <si>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</si>
  <si>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</si>
  <si>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</si>
  <si>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</si>
  <si>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</si>
  <si>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</si>
  <si>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</si>
  <si>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</si>
  <si>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</si>
  <si>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</si>
  <si>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</si>
  <si>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</si>
  <si>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</si>
  <si>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</si>
  <si>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</si>
  <si>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</si>
  <si>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</si>
  <si>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</si>
  <si>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</si>
  <si>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</si>
  <si>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</si>
  <si>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</si>
  <si>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</si>
  <si>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</si>
  <si>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</si>
  <si>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</si>
  <si>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</si>
  <si>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</si>
  <si>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</si>
  <si>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</si>
  <si>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</si>
  <si>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</si>
  <si>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</si>
  <si>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</si>
  <si>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</si>
  <si>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</si>
  <si>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</si>
  <si>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</si>
  <si>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</si>
  <si>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</si>
  <si>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</si>
  <si>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</si>
  <si>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</si>
  <si>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</si>
  <si>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</si>
  <si>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</si>
  <si>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</si>
  <si>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</si>
  <si>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</si>
  <si>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</si>
  <si>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</si>
  <si>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</si>
  <si>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</si>
  <si>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</si>
  <si>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</si>
  <si>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</si>
  <si>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</si>
  <si>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</si>
  <si>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</si>
  <si>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</si>
  <si>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</si>
  <si>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</si>
  <si>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</si>
  <si>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</si>
  <si>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</si>
  <si>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</si>
  <si>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</si>
  <si>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</si>
  <si>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</si>
  <si>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</si>
  <si>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</si>
  <si>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</si>
  <si>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</si>
  <si>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</si>
  <si>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</si>
  <si>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</si>
  <si>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</si>
  <si>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</si>
  <si>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</si>
  <si>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</si>
  <si>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</si>
  <si>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</si>
  <si>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</si>
  <si>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</si>
  <si>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</si>
  <si>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</si>
  <si>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</si>
  <si>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</si>
  <si>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</si>
  <si>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</si>
  <si>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</si>
  <si>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</si>
  <si>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</si>
  <si>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</si>
  <si>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</si>
  <si>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</si>
  <si>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</si>
  <si>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</si>
  <si>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</si>
  <si>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</si>
  <si>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</si>
  <si>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</si>
  <si>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</si>
  <si>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</si>
  <si>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</si>
  <si>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</si>
  <si>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</si>
  <si>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</si>
  <si>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</si>
  <si>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</si>
  <si>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</si>
  <si>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</si>
  <si>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</si>
  <si>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</si>
  <si>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</si>
  <si>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</si>
  <si>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</si>
  <si>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</si>
  <si>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</si>
  <si>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</si>
  <si>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</si>
  <si>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</si>
  <si>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</si>
  <si>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</si>
  <si>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</si>
  <si>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</si>
  <si>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</si>
  <si>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</si>
  <si>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</si>
  <si>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</si>
  <si>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</si>
  <si>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</si>
  <si>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</si>
  <si>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</si>
  <si>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</si>
  <si>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</si>
  <si>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</si>
  <si>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</si>
  <si>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</si>
  <si>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</si>
  <si>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</si>
  <si>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</si>
  <si>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</si>
  <si>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</si>
  <si>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</si>
  <si>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</si>
  <si>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</si>
  <si>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</si>
  <si>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</si>
  <si>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</si>
  <si>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</si>
  <si>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</si>
  <si>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</si>
  <si>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</si>
  <si>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</si>
  <si>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</si>
  <si>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</si>
  <si>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</si>
  <si>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</si>
  <si>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</si>
  <si>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</si>
  <si>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</si>
  <si>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</si>
  <si>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</si>
  <si>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</si>
  <si>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</si>
  <si>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</si>
  <si>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</si>
  <si>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</si>
  <si>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</si>
  <si>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</si>
  <si>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</si>
  <si>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</si>
  <si>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</si>
  <si>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</si>
  <si>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</si>
  <si>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</si>
  <si>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</si>
  <si>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</si>
  <si>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</si>
  <si>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</si>
  <si>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</si>
  <si>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</si>
  <si>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</si>
  <si>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</si>
  <si>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</si>
  <si>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</si>
  <si>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</si>
  <si>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</si>
  <si>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</si>
  <si>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</si>
  <si>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</si>
  <si>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</si>
  <si>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</si>
  <si>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</si>
  <si>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</si>
  <si>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</si>
  <si>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</si>
  <si>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</si>
  <si>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</si>
  <si>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</si>
  <si>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</si>
  <si>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</si>
  <si>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</si>
  <si>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</si>
  <si>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</si>
  <si>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</si>
  <si>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</si>
  <si>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</si>
  <si>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</si>
  <si>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</si>
  <si>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</si>
  <si>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</si>
  <si>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</si>
  <si>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</si>
  <si>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</si>
  <si>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</si>
  <si>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</si>
  <si>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</si>
  <si>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</si>
  <si>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</si>
  <si>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</si>
  <si>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</si>
  <si>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</si>
  <si>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</si>
  <si>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</si>
  <si>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</si>
  <si>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</si>
  <si>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</si>
  <si>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</si>
  <si>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</si>
  <si>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</si>
  <si>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</si>
  <si>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</si>
  <si>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</si>
  <si>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</si>
  <si>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</si>
  <si>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</si>
  <si>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</si>
  <si>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</si>
  <si>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</si>
  <si>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</si>
  <si>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</si>
  <si>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</si>
  <si>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</si>
  <si>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</si>
  <si>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</si>
  <si>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</si>
  <si>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</si>
  <si>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</si>
  <si>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</si>
  <si>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</si>
  <si>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</si>
  <si>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</si>
  <si>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</si>
  <si>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</si>
  <si>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</si>
  <si>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</si>
  <si>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</si>
  <si>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</si>
  <si>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</si>
  <si>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</si>
  <si>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</si>
  <si>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</si>
  <si>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</si>
  <si>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</si>
  <si>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</si>
  <si>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</si>
  <si>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</si>
  <si>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</si>
  <si>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</si>
  <si>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</si>
  <si>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</si>
  <si>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</si>
  <si>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</si>
  <si>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</si>
  <si>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</si>
  <si>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</si>
  <si>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</si>
  <si>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</si>
  <si>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</si>
  <si>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</si>
  <si>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</si>
  <si>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</si>
  <si>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</si>
  <si>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</si>
  <si>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</si>
  <si>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</si>
  <si>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</si>
  <si>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</si>
  <si>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</si>
  <si>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</si>
  <si>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</si>
  <si>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</si>
  <si>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</si>
  <si>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</si>
  <si>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</si>
  <si>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</si>
  <si>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</si>
  <si>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</si>
  <si>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</si>
  <si>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</si>
  <si>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</si>
  <si>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</si>
  <si>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</si>
  <si>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</si>
  <si>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</si>
  <si>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</si>
  <si>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</si>
  <si>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</si>
  <si>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</si>
  <si>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</si>
  <si>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</si>
  <si>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</si>
  <si>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</si>
  <si>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</si>
  <si>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</si>
  <si>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</si>
  <si>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</si>
  <si>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</si>
  <si>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</si>
  <si>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</si>
  <si>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</si>
  <si>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</si>
  <si>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</si>
  <si>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</si>
  <si>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</si>
  <si>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</si>
  <si>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</si>
  <si>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</si>
  <si>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</si>
  <si>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</si>
  <si>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</si>
  <si>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</si>
  <si>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</si>
  <si>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</si>
  <si>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</si>
  <si>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</si>
  <si>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</si>
  <si>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</si>
  <si>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</si>
  <si>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</si>
  <si>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</si>
  <si>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</si>
  <si>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</si>
  <si>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</si>
  <si>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</si>
  <si>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</si>
  <si>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</si>
  <si>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</si>
  <si>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</si>
  <si>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</si>
  <si>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</si>
  <si>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</si>
  <si>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</si>
  <si>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</si>
  <si>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</si>
  <si>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</si>
  <si>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</si>
  <si>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</si>
  <si>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</si>
  <si>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</si>
  <si>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</si>
  <si>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</si>
  <si>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</si>
  <si>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</si>
  <si>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</si>
  <si>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</si>
  <si>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</si>
  <si>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</si>
  <si>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</si>
  <si>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</si>
  <si>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</si>
  <si>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</si>
  <si>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</si>
  <si>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</si>
  <si>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</si>
  <si>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</si>
  <si>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</si>
  <si>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</si>
  <si>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</si>
  <si>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</si>
  <si>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</si>
  <si>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</si>
  <si>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</si>
  <si>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</si>
  <si>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</si>
  <si>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</si>
  <si>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</si>
  <si>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</si>
  <si>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</si>
  <si>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</si>
  <si>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</si>
  <si>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</si>
  <si>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</si>
  <si>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</si>
  <si>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</si>
  <si>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</si>
  <si>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</si>
  <si>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</si>
  <si>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</si>
  <si>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</si>
  <si>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</si>
  <si>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</si>
  <si>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</si>
  <si>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</si>
  <si>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</si>
  <si>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</si>
  <si>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</si>
  <si>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</si>
  <si>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</si>
  <si>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</si>
  <si>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</si>
  <si>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</si>
  <si>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</si>
  <si>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</si>
  <si>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</si>
  <si>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</si>
  <si>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</si>
  <si>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</si>
  <si>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</si>
  <si>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</si>
  <si>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</si>
  <si>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</si>
  <si>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</si>
  <si>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</si>
  <si>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</si>
  <si>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</si>
  <si>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</si>
  <si>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</si>
  <si>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</si>
  <si>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</si>
  <si>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</si>
  <si>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</si>
  <si>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</si>
  <si>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</si>
  <si>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</si>
  <si>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</si>
  <si>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</si>
  <si>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</si>
  <si>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</si>
  <si>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</si>
  <si>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</si>
  <si>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</si>
  <si>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</si>
  <si>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</si>
  <si>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</si>
  <si>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</si>
  <si>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</si>
  <si>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</si>
  <si>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</si>
  <si>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</si>
  <si>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</si>
  <si>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</si>
  <si>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</si>
  <si>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</si>
  <si>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</si>
  <si>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</si>
  <si>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</si>
  <si>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</si>
  <si>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</si>
  <si>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</si>
  <si>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</si>
  <si>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</si>
  <si>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</si>
  <si>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</si>
  <si>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</si>
  <si>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</si>
  <si>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</si>
  <si>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</si>
  <si>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</si>
  <si>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</si>
  <si>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</si>
  <si>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</si>
  <si>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</si>
  <si>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</si>
  <si>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</si>
  <si>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</si>
  <si>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</si>
  <si>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</si>
  <si>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</si>
  <si>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</si>
  <si>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</si>
  <si>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</si>
  <si>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</si>
  <si>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</si>
  <si>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</si>
  <si>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</si>
  <si>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</si>
  <si>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</si>
  <si>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</si>
  <si>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</si>
  <si>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</si>
  <si>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</si>
  <si>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</si>
  <si>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</si>
  <si>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</si>
  <si>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</si>
  <si>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</si>
  <si>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</si>
  <si>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</si>
  <si>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</si>
  <si>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</si>
  <si>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</si>
  <si>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</si>
  <si>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</si>
  <si>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</si>
  <si>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</si>
  <si>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</si>
  <si>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</si>
  <si>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</si>
  <si>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</si>
  <si>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</si>
  <si>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</si>
  <si>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</si>
  <si>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</si>
  <si>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</si>
  <si>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</si>
  <si>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</si>
  <si>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</si>
  <si>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</si>
  <si>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</si>
  <si>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</si>
  <si>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</si>
  <si>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</si>
  <si>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</si>
  <si>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</si>
  <si>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</si>
  <si>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</si>
  <si>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</si>
  <si>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</si>
  <si>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</si>
  <si>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</si>
  <si>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</si>
  <si>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</si>
  <si>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</si>
  <si>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</si>
  <si>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</si>
  <si>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</si>
  <si>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</si>
  <si>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</si>
  <si>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</si>
  <si>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</si>
  <si>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</si>
  <si>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</si>
  <si>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</si>
  <si>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</si>
  <si>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</si>
  <si>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</si>
  <si>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</si>
  <si>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</si>
  <si>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</si>
  <si>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</si>
  <si>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</si>
  <si>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</si>
  <si>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</si>
  <si>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</si>
  <si>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</si>
  <si>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</si>
  <si>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</si>
  <si>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</si>
  <si>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</si>
  <si>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</si>
  <si>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</si>
  <si>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</si>
  <si>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</si>
  <si>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</si>
  <si>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</si>
  <si>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</si>
  <si>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</si>
  <si>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</si>
  <si>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</si>
  <si>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</si>
  <si>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</si>
  <si>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</si>
  <si>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</si>
  <si>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</si>
  <si>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</si>
  <si>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</si>
  <si>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</si>
  <si>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</si>
  <si>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</si>
  <si>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</si>
  <si>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</si>
  <si>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</si>
  <si>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</si>
  <si>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</si>
  <si>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</si>
  <si>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</si>
  <si>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</si>
  <si>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</si>
  <si>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</si>
  <si>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</si>
  <si>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</si>
  <si>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</si>
  <si>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</si>
  <si>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</si>
  <si>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</si>
  <si>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</si>
  <si>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</si>
  <si>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</si>
  <si>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</si>
  <si>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</si>
  <si>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</si>
  <si>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</si>
  <si>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</si>
  <si>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</si>
  <si>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</si>
  <si>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</si>
  <si>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</si>
  <si>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</si>
  <si>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</si>
  <si>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</si>
  <si>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</si>
  <si>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</si>
  <si>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</si>
  <si>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</si>
  <si>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</si>
  <si>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</si>
  <si>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</si>
  <si>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</si>
  <si>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</si>
  <si>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</si>
  <si>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</si>
  <si>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</si>
  <si>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</si>
  <si>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</si>
  <si>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</si>
  <si>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</si>
  <si>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</si>
  <si>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</si>
  <si>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</si>
  <si>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</si>
  <si>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</si>
  <si>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</si>
  <si>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</si>
  <si>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</si>
  <si>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</si>
  <si>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</si>
  <si>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</si>
  <si>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</si>
  <si>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</si>
  <si>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</si>
  <si>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</si>
  <si>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</si>
  <si>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</si>
  <si>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</si>
  <si>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</si>
  <si>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</si>
  <si>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</si>
  <si>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</si>
  <si>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</si>
  <si>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</si>
  <si>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</si>
  <si>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</si>
  <si>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</si>
  <si>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</si>
  <si>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</si>
  <si>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</si>
  <si>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</si>
  <si>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</si>
  <si>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</si>
  <si>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</si>
  <si>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</si>
  <si>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</si>
  <si>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</si>
  <si>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</si>
  <si>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</si>
  <si>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</si>
  <si>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</si>
  <si>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</si>
  <si>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</si>
  <si>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</si>
  <si>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</si>
  <si>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</si>
  <si>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</si>
  <si>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</si>
  <si>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</si>
  <si>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</si>
  <si>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</si>
  <si>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</si>
  <si>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</si>
  <si>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</si>
  <si>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</si>
  <si>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</si>
  <si>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</si>
  <si>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</si>
  <si>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</si>
  <si>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</si>
  <si>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</si>
  <si>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</si>
  <si>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</si>
  <si>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</si>
  <si>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</si>
  <si>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</si>
  <si>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</si>
  <si>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</si>
  <si>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</si>
  <si>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</si>
  <si>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</si>
  <si>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</si>
  <si>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</si>
  <si>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</si>
  <si>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</si>
  <si>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</si>
  <si>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</si>
  <si>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</si>
  <si>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</si>
  <si>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</si>
  <si>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</si>
  <si>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</si>
  <si>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</si>
  <si>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</si>
  <si>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</si>
  <si>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</si>
  <si>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</si>
  <si>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</si>
  <si>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</si>
  <si>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</si>
  <si>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</si>
  <si>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</si>
  <si>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</si>
  <si>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</si>
  <si>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</si>
  <si>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</si>
  <si>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</si>
  <si>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</si>
  <si>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</si>
  <si>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</si>
  <si>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</si>
  <si>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</si>
  <si>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</si>
  <si>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</si>
  <si>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</si>
  <si>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</si>
  <si>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</si>
  <si>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</si>
  <si>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</si>
  <si>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</si>
  <si>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</si>
  <si>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</si>
  <si>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</si>
  <si>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</si>
  <si>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</si>
  <si>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</si>
  <si>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</si>
  <si>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</si>
  <si>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</si>
  <si>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</si>
  <si>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</si>
  <si>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</si>
  <si>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</si>
  <si>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</si>
  <si>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</si>
  <si>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</si>
  <si>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</si>
  <si>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</si>
  <si>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</si>
  <si>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</si>
  <si>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</si>
  <si>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</si>
  <si>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</si>
  <si>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</si>
  <si>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</si>
  <si>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</si>
  <si>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</si>
  <si>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</si>
  <si>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</si>
  <si>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</si>
  <si>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</si>
  <si>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</si>
  <si>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</si>
  <si>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</si>
  <si>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</si>
  <si>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</si>
  <si>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</si>
  <si>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</si>
  <si>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</si>
  <si>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</si>
  <si>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</si>
  <si>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</si>
  <si>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</si>
  <si>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</si>
  <si>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</si>
  <si>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</si>
  <si>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</si>
  <si>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</si>
  <si>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</si>
  <si>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</si>
  <si>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</si>
  <si>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</si>
  <si>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</si>
  <si>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</si>
  <si>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</si>
  <si>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</si>
  <si>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</si>
  <si>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</si>
  <si>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</si>
  <si>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</si>
  <si>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</si>
  <si>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</si>
  <si>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</si>
  <si>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</si>
  <si>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</si>
  <si>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</si>
  <si>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</si>
  <si>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</si>
  <si>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</si>
  <si>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</si>
  <si>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</si>
  <si>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</si>
  <si>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</si>
  <si>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</si>
  <si>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</si>
  <si>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</si>
  <si>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</si>
  <si>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</si>
  <si>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</si>
  <si>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</si>
  <si>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</si>
  <si>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</si>
  <si>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</si>
  <si>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</si>
  <si>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</si>
  <si>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</si>
  <si>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</si>
  <si>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</si>
  <si>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</si>
  <si>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</si>
  <si>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</si>
  <si>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</si>
  <si>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</si>
  <si>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</si>
  <si>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</si>
  <si>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</si>
  <si>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</si>
  <si>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</si>
  <si>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</si>
  <si>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</si>
  <si>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</si>
  <si>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</si>
  <si>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</si>
  <si>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</si>
  <si>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</si>
  <si>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</si>
  <si>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</si>
  <si>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</si>
  <si>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</si>
  <si>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</si>
  <si>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</si>
  <si>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</si>
  <si>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</si>
  <si>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</si>
  <si>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</si>
  <si>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</si>
  <si>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</si>
  <si>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</si>
  <si>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</si>
  <si>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</si>
  <si>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</si>
  <si>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</si>
  <si>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</si>
  <si>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</si>
  <si>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</si>
  <si>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</si>
  <si>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</si>
  <si>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</si>
  <si>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</si>
  <si>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</si>
  <si>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</si>
  <si>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</si>
  <si>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</si>
  <si>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</si>
  <si>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</si>
  <si>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</si>
  <si>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</si>
  <si>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</si>
  <si>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</si>
  <si>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</si>
  <si>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</si>
  <si>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</si>
  <si>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</si>
  <si>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</si>
  <si>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</si>
  <si>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</si>
  <si>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</si>
  <si>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</si>
  <si>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</si>
  <si>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</si>
  <si>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</si>
  <si>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</si>
  <si>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</si>
  <si>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</si>
  <si>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</si>
  <si>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</si>
  <si>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</si>
  <si>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</si>
  <si>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</si>
  <si>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</si>
  <si>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</si>
  <si>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</si>
  <si>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</si>
  <si>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</si>
  <si>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</si>
  <si>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</si>
  <si>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</si>
  <si>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</si>
  <si>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</si>
  <si>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</si>
  <si>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</si>
  <si>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</si>
  <si>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</si>
  <si>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</si>
  <si>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</si>
  <si>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</si>
  <si>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</si>
  <si>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</si>
  <si>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</si>
  <si>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</si>
  <si>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</si>
  <si>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</si>
  <si>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</si>
  <si>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</si>
  <si>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</si>
  <si>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</si>
  <si>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</si>
  <si>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</si>
  <si>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</si>
  <si>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</si>
  <si>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</si>
  <si>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</si>
  <si>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</si>
  <si>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</si>
  <si>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</si>
  <si>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</si>
  <si>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</si>
  <si>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</si>
  <si>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</si>
  <si>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</si>
  <si>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</si>
  <si>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</si>
  <si>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</si>
  <si>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</si>
  <si>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</si>
  <si>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</si>
  <si>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</si>
  <si>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</si>
  <si>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</si>
  <si>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</si>
  <si>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</si>
  <si>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</si>
  <si>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</si>
  <si>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</si>
  <si>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</si>
  <si>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</si>
  <si>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</si>
  <si>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</si>
  <si>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</si>
  <si>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</si>
  <si>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</si>
  <si>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</si>
  <si>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</si>
  <si>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</si>
  <si>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</si>
  <si>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</si>
  <si>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</si>
  <si>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</si>
  <si>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</si>
  <si>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</si>
  <si>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</si>
  <si>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</si>
  <si>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</si>
  <si>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</si>
  <si>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</si>
  <si>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</si>
  <si>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</si>
  <si>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</si>
  <si>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</si>
  <si>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</si>
  <si>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</si>
  <si>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</si>
  <si>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</si>
  <si>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</si>
  <si>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</si>
  <si>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</si>
  <si>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</si>
  <si>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</si>
  <si>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</si>
  <si>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</si>
  <si>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</si>
  <si>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</si>
  <si>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</si>
  <si>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</si>
  <si>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</si>
  <si>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</si>
  <si>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</si>
  <si>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</si>
  <si>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</si>
  <si>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</si>
  <si>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</si>
  <si>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</si>
  <si>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</si>
  <si>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</si>
  <si>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</si>
  <si>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</si>
  <si>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</si>
  <si>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</si>
  <si>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</si>
  <si>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</si>
  <si>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</si>
  <si>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</si>
  <si>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</si>
  <si>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</si>
  <si>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</si>
  <si>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</si>
  <si>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</si>
  <si>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</si>
  <si>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</si>
  <si>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</si>
  <si>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</si>
  <si>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</si>
  <si>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</si>
  <si>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</si>
  <si>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</si>
  <si>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</si>
  <si>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</si>
  <si>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</si>
  <si>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</si>
  <si>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</si>
  <si>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</si>
  <si>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</si>
  <si>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</si>
  <si>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</si>
  <si>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</si>
  <si>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</si>
  <si>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</si>
  <si>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</si>
  <si>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</si>
  <si>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</si>
  <si>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</si>
  <si>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</si>
  <si>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</si>
  <si>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</si>
  <si>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</si>
  <si>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</si>
  <si>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</si>
  <si>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</si>
  <si>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</si>
  <si>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</si>
  <si>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</si>
  <si>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</si>
  <si>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</si>
  <si>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</si>
  <si>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</si>
  <si>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</si>
  <si>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</si>
  <si>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</si>
  <si>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</si>
  <si>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</si>
  <si>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</si>
  <si>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</si>
  <si>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</si>
  <si>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</si>
  <si>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</si>
  <si>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</si>
  <si>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</si>
  <si>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</si>
  <si>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</si>
  <si>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</si>
  <si>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</si>
  <si>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</si>
  <si>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</si>
  <si>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</si>
  <si>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</si>
  <si>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</si>
  <si>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</si>
  <si>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</si>
  <si>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</si>
  <si>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</si>
  <si>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</si>
  <si>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</si>
  <si>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</si>
  <si>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</si>
  <si>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</si>
  <si>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</si>
  <si>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</si>
  <si>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</si>
  <si>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</si>
  <si>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</si>
  <si>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</si>
  <si>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</si>
  <si>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</si>
  <si>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</si>
  <si>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</si>
  <si>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</si>
  <si>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</si>
  <si>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</si>
  <si>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</si>
  <si>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</si>
  <si>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</si>
  <si>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</si>
  <si>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</si>
  <si>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</si>
  <si>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</si>
  <si>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</si>
  <si>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</si>
  <si>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</si>
  <si>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</si>
  <si>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</si>
  <si>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</si>
  <si>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</si>
  <si>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</si>
  <si>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</si>
  <si>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</si>
  <si>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</si>
  <si>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</si>
  <si>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</si>
  <si>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</si>
  <si>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</si>
  <si>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</si>
  <si>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</si>
  <si>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</si>
  <si>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</si>
  <si>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</si>
  <si>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</si>
  <si>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</si>
  <si>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</si>
  <si>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</si>
  <si>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</si>
  <si>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</si>
  <si>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</si>
  <si>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</si>
  <si>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</si>
  <si>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</si>
  <si>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</si>
  <si>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</si>
  <si>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</si>
  <si>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</si>
  <si>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</si>
  <si>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</si>
  <si>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</si>
  <si>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</si>
  <si>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</si>
  <si>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</si>
  <si>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</si>
  <si>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</si>
  <si>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</si>
  <si>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</si>
  <si>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</si>
  <si>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</si>
  <si>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</si>
  <si>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</si>
  <si>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</si>
  <si>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</si>
  <si>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</si>
  <si>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</si>
  <si>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</si>
  <si>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</si>
  <si>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</si>
  <si>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</si>
  <si>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</si>
  <si>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</si>
  <si>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</si>
  <si>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</si>
  <si>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</si>
  <si>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</si>
  <si>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</si>
  <si>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</si>
  <si>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</si>
  <si>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</si>
  <si>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</si>
  <si>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</si>
  <si>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</si>
  <si>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</si>
  <si>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</si>
  <si>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</si>
  <si>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</si>
  <si>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</si>
  <si>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</si>
  <si>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</si>
  <si>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</si>
  <si>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</si>
  <si>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</si>
  <si>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</si>
  <si>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</si>
  <si>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</si>
  <si>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</si>
  <si>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</si>
  <si>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</si>
  <si>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</si>
  <si>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</si>
  <si>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</si>
  <si>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</si>
  <si>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</si>
  <si>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</si>
  <si>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</si>
  <si>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</si>
  <si>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</si>
  <si>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</si>
  <si>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</si>
  <si>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</si>
  <si>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</si>
  <si>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</si>
  <si>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</si>
  <si>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</si>
  <si>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</si>
  <si>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</si>
  <si>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</si>
  <si>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</si>
  <si>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</si>
  <si>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</si>
  <si>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</si>
  <si>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</si>
  <si>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</si>
  <si>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</si>
  <si>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</si>
  <si>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</si>
  <si>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</si>
  <si>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</si>
  <si>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</si>
  <si>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</si>
  <si>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</si>
  <si>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</si>
  <si>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</si>
  <si>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</si>
  <si>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</si>
  <si>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</si>
  <si>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</si>
  <si>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</si>
  <si>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</si>
  <si>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</si>
  <si>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</si>
  <si>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</si>
  <si>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</si>
  <si>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</si>
  <si>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</si>
  <si>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</si>
  <si>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</si>
  <si>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</si>
  <si>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</si>
  <si>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</si>
  <si>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</si>
  <si>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</si>
  <si>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</si>
  <si>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</si>
  <si>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</si>
  <si>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</si>
  <si>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</si>
  <si>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</si>
  <si>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</si>
  <si>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</si>
  <si>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</si>
  <si>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</si>
  <si>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</si>
  <si>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</si>
  <si>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</si>
  <si>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</si>
  <si>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</si>
  <si>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</si>
  <si>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</si>
  <si>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</si>
  <si>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</si>
  <si>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</si>
  <si>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</si>
  <si>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</si>
  <si>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</si>
  <si>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</si>
  <si>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</si>
  <si>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</si>
  <si>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</si>
  <si>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</si>
  <si>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</si>
  <si>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</si>
  <si>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</si>
  <si>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</si>
  <si>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</si>
  <si>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</si>
  <si>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</si>
  <si>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</si>
  <si>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</si>
  <si>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</si>
  <si>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</si>
  <si>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</si>
  <si>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</si>
  <si>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</si>
  <si>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</si>
  <si>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</si>
  <si>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</si>
  <si>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</si>
  <si>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</si>
  <si>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</si>
  <si>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</si>
  <si>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</si>
  <si>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</si>
  <si>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</si>
  <si>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</si>
  <si>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</si>
  <si>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</si>
  <si>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</si>
  <si>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</si>
  <si>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</si>
  <si>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</si>
  <si>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</si>
  <si>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</si>
  <si>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</si>
  <si>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</si>
  <si>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</si>
  <si>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</si>
  <si>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</si>
  <si>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</si>
  <si>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</si>
  <si>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</si>
  <si>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</si>
  <si>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</si>
  <si>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</si>
  <si>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</si>
  <si>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</si>
  <si>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</si>
  <si>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</si>
  <si>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</si>
  <si>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</si>
  <si>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</si>
  <si>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</si>
  <si>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</si>
  <si>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</si>
  <si>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</si>
  <si>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</si>
  <si>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</si>
  <si>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</si>
  <si>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</si>
  <si>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</si>
  <si>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</si>
  <si>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</si>
  <si>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</si>
  <si>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</si>
  <si>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</si>
  <si>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</si>
  <si>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</si>
  <si>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</si>
  <si>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</si>
  <si>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</si>
  <si>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</si>
  <si>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</si>
  <si>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</si>
  <si>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</si>
  <si>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</si>
  <si>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</si>
  <si>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</si>
  <si>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</si>
  <si>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</si>
  <si>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</si>
  <si>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</si>
  <si>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</si>
  <si>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</si>
  <si>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</si>
  <si>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</si>
  <si>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</si>
  <si>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</si>
  <si>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</si>
  <si>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</si>
  <si>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</si>
  <si>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</si>
  <si>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</si>
  <si>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</si>
  <si>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</si>
  <si>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</si>
  <si>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</si>
  <si>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</si>
  <si>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</si>
  <si>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</si>
  <si>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</si>
  <si>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</si>
  <si>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</si>
  <si>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</si>
  <si>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</si>
  <si>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</si>
  <si>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</si>
  <si>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</si>
  <si>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</si>
  <si>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</si>
  <si>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</si>
  <si>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</si>
  <si>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</si>
  <si>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</si>
  <si>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</si>
  <si>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</si>
  <si>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</si>
  <si>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</si>
  <si>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</si>
  <si>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</si>
  <si>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</si>
  <si>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</si>
  <si>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</si>
  <si>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</si>
  <si>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</si>
  <si>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</si>
  <si>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</si>
  <si>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</si>
  <si>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</si>
  <si>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</si>
  <si>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</si>
  <si>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</si>
  <si>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</si>
  <si>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</si>
  <si>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</si>
  <si>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</si>
  <si>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</si>
  <si>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</si>
  <si>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</si>
  <si>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</si>
  <si>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</si>
  <si>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</si>
  <si>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</si>
  <si>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</si>
  <si>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</si>
  <si>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</si>
  <si>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</si>
  <si>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</si>
  <si>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</si>
  <si>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</si>
  <si>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</si>
  <si>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</si>
  <si>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</si>
  <si>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</si>
  <si>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</si>
  <si>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</si>
  <si>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</si>
  <si>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</si>
  <si>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</si>
  <si>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</si>
  <si>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</si>
  <si>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</si>
  <si>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</si>
  <si>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</si>
  <si>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</si>
  <si>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</si>
  <si>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</si>
  <si>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</si>
  <si>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</si>
  <si>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</si>
  <si>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</si>
  <si>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</si>
  <si>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</si>
  <si>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</si>
  <si>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</si>
  <si>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</si>
  <si>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</si>
  <si>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</si>
  <si>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</si>
  <si>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</si>
  <si>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</si>
  <si>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</si>
  <si>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</si>
  <si>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</si>
  <si>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</si>
  <si>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</si>
  <si>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</si>
  <si>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</si>
  <si>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</si>
  <si>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</si>
  <si>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</si>
  <si>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</si>
  <si>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</si>
  <si>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</si>
  <si>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</si>
  <si>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</si>
  <si>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</si>
  <si>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</si>
  <si>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</si>
  <si>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</si>
  <si>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</si>
  <si>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</si>
  <si>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</si>
  <si>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</si>
  <si>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</si>
  <si>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</si>
  <si>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</si>
  <si>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</si>
  <si>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</si>
  <si>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</si>
  <si>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</si>
  <si>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</si>
  <si>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</si>
  <si>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</si>
  <si>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</si>
  <si>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</si>
  <si>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</si>
  <si>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</si>
  <si>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</si>
  <si>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</si>
  <si>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</si>
  <si>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</si>
  <si>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</si>
  <si>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</si>
  <si>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</si>
  <si>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</si>
  <si>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</si>
  <si>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</si>
  <si>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</si>
  <si>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</si>
  <si>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</si>
  <si>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</si>
  <si>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</si>
  <si>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</si>
  <si>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</si>
  <si>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</si>
  <si>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</si>
  <si>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</si>
  <si>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</si>
  <si>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</si>
  <si>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</si>
  <si>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</si>
  <si>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</si>
  <si>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</si>
  <si>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</si>
  <si>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</si>
  <si>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</si>
  <si>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</si>
  <si>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</si>
  <si>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</si>
  <si>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</si>
  <si>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</si>
  <si>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</si>
  <si>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</si>
  <si>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</si>
  <si>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</si>
  <si>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</si>
  <si>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</si>
  <si>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</si>
  <si>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</si>
  <si>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</si>
  <si>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</si>
  <si>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</si>
  <si>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</si>
  <si>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</si>
  <si>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</si>
  <si>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</si>
  <si>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</si>
  <si>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</si>
  <si>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</si>
  <si>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</si>
  <si>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</si>
  <si>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</si>
  <si>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</si>
  <si>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</si>
  <si>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</si>
  <si>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</si>
  <si>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</si>
  <si>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</si>
  <si>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</si>
  <si>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</si>
  <si>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</si>
  <si>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</si>
  <si>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</si>
  <si>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</si>
  <si>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</si>
  <si>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</si>
  <si>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</si>
  <si>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</si>
  <si>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</si>
  <si>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</si>
  <si>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</si>
  <si>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</si>
  <si>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</si>
  <si>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</si>
  <si>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</si>
  <si>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</si>
  <si>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</si>
  <si>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</si>
  <si>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</si>
  <si>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</si>
  <si>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</si>
  <si>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</si>
  <si>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</si>
  <si>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</si>
  <si>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</si>
  <si>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</si>
  <si>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</si>
  <si>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</si>
  <si>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</si>
  <si>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</si>
  <si>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</si>
  <si>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</si>
  <si>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</si>
  <si>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</si>
  <si>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</si>
  <si>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</si>
  <si>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</si>
  <si>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</si>
  <si>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</si>
  <si>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</si>
  <si>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</si>
  <si>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</si>
  <si>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</si>
  <si>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</si>
  <si>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</si>
  <si>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</si>
  <si>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</si>
  <si>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</si>
  <si>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</si>
  <si>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</si>
  <si>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</si>
  <si>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</si>
  <si>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</si>
  <si>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</si>
  <si>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</si>
  <si>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</si>
  <si>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</si>
  <si>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</si>
  <si>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</si>
  <si>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</si>
  <si>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</si>
  <si>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</si>
  <si>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</si>
  <si>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</si>
  <si>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</si>
  <si>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</si>
  <si>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</si>
  <si>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</si>
  <si>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</si>
  <si>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</si>
  <si>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</si>
  <si>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</si>
  <si>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</si>
  <si>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</si>
  <si>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</si>
  <si>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</si>
  <si>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</si>
  <si>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</si>
  <si>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</si>
  <si>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</si>
  <si>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</si>
  <si>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</si>
  <si>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</si>
  <si>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</si>
  <si>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</si>
  <si>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</si>
  <si>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</si>
  <si>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</si>
  <si>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</si>
  <si>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</si>
  <si>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</si>
  <si>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</si>
  <si>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</si>
  <si>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</si>
  <si>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</si>
  <si>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</si>
  <si>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</si>
  <si>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</si>
  <si>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</si>
  <si>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</si>
  <si>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</si>
  <si>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</si>
  <si>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</si>
  <si>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</si>
  <si>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</si>
  <si>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</si>
  <si>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</si>
  <si>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</si>
  <si>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</si>
  <si>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</si>
  <si>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</si>
  <si>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</si>
  <si>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</si>
  <si>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</si>
  <si>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</si>
  <si>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</si>
  <si>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</si>
  <si>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</si>
  <si>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</si>
  <si>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</si>
  <si>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</si>
  <si>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</si>
  <si>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</si>
  <si>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</si>
  <si>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</si>
  <si>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</si>
  <si>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</si>
  <si>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</si>
  <si>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</si>
  <si>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</si>
  <si>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</si>
  <si>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</si>
  <si>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</si>
  <si>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</si>
  <si>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</si>
  <si>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</si>
  <si>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</si>
  <si>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</si>
  <si>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</si>
  <si>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</si>
  <si>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</si>
  <si>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</si>
  <si>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</si>
  <si>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</si>
  <si>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</si>
  <si>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</si>
  <si>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</si>
  <si>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</si>
  <si>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</si>
  <si>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</si>
  <si>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</si>
  <si>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</si>
  <si>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</si>
  <si>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</si>
  <si>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</si>
  <si>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</si>
  <si>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</si>
  <si>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</si>
  <si>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</si>
  <si>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</si>
  <si>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</si>
  <si>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</si>
  <si>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</si>
  <si>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</si>
  <si>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</si>
  <si>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</si>
  <si>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</si>
  <si>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</si>
  <si>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</si>
  <si>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</si>
  <si>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</si>
  <si>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</si>
  <si>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</si>
  <si>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</si>
  <si>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</si>
  <si>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</si>
  <si>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</si>
  <si>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</si>
  <si>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</si>
  <si>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</si>
  <si>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</si>
  <si>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</si>
  <si>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</si>
  <si>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</si>
  <si>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</si>
  <si>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</si>
  <si>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</si>
  <si>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</si>
  <si>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</si>
  <si>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</si>
  <si>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</si>
  <si>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</si>
  <si>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</si>
  <si>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</si>
  <si>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</si>
  <si>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</si>
  <si>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</si>
  <si>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</si>
  <si>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</si>
  <si>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</si>
  <si>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</si>
  <si>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</si>
  <si>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</si>
  <si>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</si>
  <si>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</si>
  <si>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</si>
  <si>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</si>
  <si>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</si>
  <si>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</si>
  <si>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</si>
  <si>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</si>
  <si>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</si>
  <si>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</si>
  <si>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</si>
  <si>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</si>
  <si>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</si>
  <si>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</si>
  <si>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</si>
  <si>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</si>
  <si>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</si>
  <si>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</si>
  <si>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</si>
  <si>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</si>
  <si>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</si>
  <si>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</si>
  <si>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</si>
  <si>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</si>
  <si>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</si>
  <si>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</si>
  <si>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</si>
  <si>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</si>
  <si>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</si>
  <si>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</si>
  <si>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</si>
  <si>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</si>
  <si>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</si>
  <si>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</si>
  <si>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</si>
  <si>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</si>
  <si>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</si>
  <si>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</si>
  <si>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</si>
  <si>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</si>
  <si>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</si>
  <si>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</si>
  <si>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</si>
  <si>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</si>
  <si>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</si>
  <si>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</si>
  <si>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</si>
  <si>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</si>
  <si>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</si>
  <si>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</si>
  <si>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</si>
  <si>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</si>
  <si>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</si>
  <si>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</si>
  <si>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</si>
  <si>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</si>
  <si>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</si>
  <si>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</si>
  <si>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</si>
  <si>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</si>
  <si>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</si>
  <si>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</si>
  <si>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</si>
  <si>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</si>
  <si>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</si>
  <si>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</si>
  <si>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</si>
  <si>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</si>
  <si>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</si>
  <si>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</si>
  <si>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</si>
  <si>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</si>
  <si>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</si>
  <si>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</si>
  <si>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</si>
  <si>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</si>
  <si>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</si>
  <si>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</si>
  <si>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</si>
  <si>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</si>
  <si>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</si>
  <si>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</si>
  <si>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</si>
  <si>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</si>
  <si>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</si>
  <si>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</si>
  <si>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</si>
  <si>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</si>
  <si>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</si>
  <si>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</si>
  <si>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</si>
  <si>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</si>
  <si>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</si>
  <si>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</si>
  <si>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</si>
  <si>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</si>
  <si>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</si>
  <si>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</si>
  <si>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</si>
  <si>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</si>
  <si>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</si>
  <si>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</si>
  <si>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</si>
  <si>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</si>
  <si>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</si>
  <si>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</si>
  <si>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</si>
  <si>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</si>
  <si>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</si>
  <si>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</si>
  <si>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</si>
  <si>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</si>
  <si>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</si>
  <si>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</si>
  <si>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</si>
  <si>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</si>
  <si>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</si>
  <si>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</si>
  <si>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</si>
  <si>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</si>
  <si>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</si>
  <si>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</si>
  <si>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</si>
  <si>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</si>
  <si>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</si>
  <si>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</si>
  <si>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</si>
  <si>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</si>
  <si>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</si>
  <si>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</si>
  <si>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</si>
  <si>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</si>
  <si>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</si>
  <si>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</si>
  <si>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</si>
  <si>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</si>
  <si>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</si>
  <si>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</si>
  <si>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</si>
  <si>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</si>
  <si>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</si>
  <si>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</si>
  <si>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</si>
  <si>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</si>
  <si>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</si>
  <si>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</si>
  <si>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</si>
  <si>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</si>
  <si>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</si>
  <si>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</si>
  <si>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</si>
  <si>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</si>
  <si>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</si>
  <si>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</si>
  <si>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</si>
  <si>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</si>
  <si>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</si>
  <si>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</si>
  <si>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</si>
  <si>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</si>
  <si>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</si>
  <si>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</si>
  <si>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</si>
  <si>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</si>
  <si>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</si>
  <si>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</si>
  <si>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</si>
  <si>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</si>
  <si>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</si>
  <si>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</si>
  <si>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</si>
  <si>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</si>
  <si>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</si>
  <si>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</si>
  <si>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</si>
  <si>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</si>
  <si>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</si>
  <si>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</si>
  <si>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</si>
  <si>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</si>
  <si>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</si>
  <si>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</si>
  <si>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</si>
  <si>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</si>
  <si>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</si>
  <si>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</si>
  <si>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</si>
  <si>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</si>
  <si>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</si>
  <si>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</si>
  <si>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</si>
  <si>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</si>
  <si>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</si>
  <si>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</si>
  <si>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</si>
  <si>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</si>
  <si>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</si>
  <si>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</si>
  <si>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</si>
  <si>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</si>
  <si>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</si>
  <si>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</si>
  <si>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</si>
  <si>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</si>
  <si>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</si>
  <si>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</si>
  <si>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</si>
  <si>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</si>
  <si>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</si>
  <si>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</si>
  <si>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</si>
  <si>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</si>
  <si>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</si>
  <si>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</si>
  <si>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</si>
  <si>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</si>
  <si>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</si>
  <si>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</si>
  <si>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</si>
  <si>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</si>
  <si>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</si>
  <si>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</si>
  <si>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</si>
  <si>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</si>
  <si>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</si>
  <si>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</si>
  <si>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</si>
  <si>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</si>
  <si>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</si>
  <si>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</si>
  <si>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</si>
  <si>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</si>
  <si>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</si>
  <si>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</si>
  <si>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</si>
  <si>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</si>
  <si>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</si>
  <si>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</si>
  <si>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</si>
  <si>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</si>
  <si>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</si>
  <si>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</si>
  <si>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</si>
  <si>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</si>
  <si>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</si>
  <si>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</si>
  <si>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</si>
  <si>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</si>
  <si>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</si>
  <si>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</si>
  <si>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</si>
  <si>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</si>
  <si>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</si>
  <si>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</si>
  <si>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</si>
  <si>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</si>
  <si>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</si>
  <si>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</si>
  <si>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</si>
  <si>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</si>
  <si>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</si>
  <si>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</si>
  <si>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</si>
  <si>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</si>
  <si>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</si>
  <si>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</si>
  <si>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</si>
  <si>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</si>
  <si>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</si>
  <si>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</si>
  <si>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</si>
  <si>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</si>
  <si>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</si>
  <si>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</si>
  <si>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</si>
  <si>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</si>
  <si>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</si>
  <si>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</si>
  <si>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</si>
  <si>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</si>
  <si>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</si>
  <si>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</si>
  <si>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</si>
  <si>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</si>
  <si>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</si>
  <si>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</si>
  <si>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</si>
  <si>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</si>
  <si>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</si>
  <si>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</si>
  <si>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</si>
  <si>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</si>
  <si>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</si>
  <si>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</si>
  <si>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</si>
  <si>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</si>
  <si>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</si>
  <si>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</si>
  <si>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</si>
  <si>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</si>
  <si>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</si>
  <si>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</si>
  <si>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</si>
  <si>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</si>
  <si>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</si>
  <si>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</si>
  <si>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</si>
  <si>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</si>
  <si>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</si>
  <si>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</si>
  <si>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</si>
  <si>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</si>
  <si>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</si>
  <si>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</si>
  <si>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</si>
  <si>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</si>
  <si>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</si>
  <si>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</si>
  <si>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</si>
  <si>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</si>
  <si>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</si>
  <si>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</si>
  <si>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</si>
  <si>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</si>
  <si>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</si>
  <si>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</si>
  <si>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</si>
  <si>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</si>
  <si>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</si>
  <si>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</si>
  <si>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</si>
  <si>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</si>
  <si>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</si>
  <si>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</si>
  <si>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</si>
  <si>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</si>
  <si>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</si>
  <si>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</si>
  <si>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</si>
  <si>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</si>
  <si>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</si>
  <si>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</si>
  <si>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</si>
  <si>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</si>
  <si>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</si>
  <si>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</si>
  <si>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</si>
  <si>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</si>
  <si>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</si>
  <si>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</si>
  <si>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</si>
  <si>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</si>
  <si>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</si>
  <si>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</si>
  <si>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</si>
  <si>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</si>
  <si>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</si>
  <si>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</si>
  <si>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</si>
  <si>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</si>
  <si>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</si>
  <si>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</si>
  <si>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</si>
  <si>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</si>
  <si>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</si>
  <si>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</si>
  <si>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</si>
  <si>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</si>
  <si>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</si>
  <si>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</si>
  <si>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</si>
  <si>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</si>
  <si>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</si>
  <si>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</si>
  <si>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</si>
  <si>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</si>
  <si>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</si>
  <si>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</si>
  <si>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</si>
  <si>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</si>
  <si>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</si>
  <si>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</si>
  <si>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</si>
  <si>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</si>
  <si>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</si>
  <si>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</si>
  <si>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</si>
  <si>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</si>
  <si>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</si>
  <si>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</si>
  <si>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</si>
  <si>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</si>
  <si>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</si>
  <si>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</si>
  <si>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</si>
  <si>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</si>
  <si>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</si>
  <si>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</si>
  <si>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</si>
  <si>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</si>
  <si>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</si>
  <si>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</si>
  <si>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</si>
  <si>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</si>
  <si>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</si>
  <si>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</si>
  <si>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</si>
  <si>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</si>
  <si>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</si>
  <si>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</si>
  <si>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</si>
  <si>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</si>
  <si>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</si>
  <si>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</si>
  <si>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</si>
  <si>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</si>
  <si>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</si>
  <si>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</si>
  <si>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</si>
  <si>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</si>
  <si>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</si>
  <si>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</si>
  <si>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</si>
  <si>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</si>
  <si>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</si>
  <si>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</si>
  <si>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</si>
  <si>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</si>
  <si>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</si>
  <si>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</si>
  <si>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</si>
  <si>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</si>
  <si>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</si>
  <si>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</si>
  <si>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</si>
  <si>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</si>
  <si>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</si>
  <si>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</si>
  <si>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</si>
  <si>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</si>
  <si>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</si>
  <si>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</si>
  <si>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</si>
  <si>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</si>
  <si>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</si>
  <si>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</si>
  <si>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</si>
  <si>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</si>
  <si>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</si>
  <si>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</si>
  <si>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</si>
  <si>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</si>
  <si>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</si>
  <si>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</si>
  <si>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</si>
  <si>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</si>
  <si>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</si>
  <si>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</si>
  <si>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</si>
  <si>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</si>
  <si>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</si>
  <si>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</si>
  <si>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</si>
  <si>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</si>
  <si>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</si>
  <si>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</si>
  <si>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</si>
  <si>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</si>
  <si>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</si>
  <si>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</si>
  <si>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</si>
  <si>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</si>
  <si>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</si>
  <si>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</si>
  <si>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</si>
  <si>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</si>
  <si>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</si>
  <si>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</si>
  <si>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</si>
  <si>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</si>
  <si>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</si>
  <si>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</si>
  <si>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</si>
  <si>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</si>
  <si>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</si>
  <si>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</si>
  <si>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</si>
  <si>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</si>
  <si>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</si>
  <si>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</si>
  <si>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</si>
  <si>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</si>
  <si>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</si>
  <si>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</si>
  <si>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</si>
  <si>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</si>
  <si>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</si>
  <si>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</si>
  <si>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</si>
  <si>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</si>
  <si>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</si>
  <si>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</si>
  <si>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</si>
  <si>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</si>
  <si>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</si>
  <si>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</si>
  <si>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</si>
  <si>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</si>
  <si>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</si>
  <si>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</si>
  <si>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</si>
  <si>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</si>
  <si>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</si>
  <si>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</si>
  <si>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</si>
  <si>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</si>
  <si>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</si>
  <si>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</si>
  <si>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</si>
  <si>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</si>
  <si>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</si>
  <si>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</si>
  <si>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</si>
  <si>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</si>
  <si>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</si>
  <si>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</si>
  <si>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</si>
  <si>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</si>
  <si>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</si>
  <si>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</si>
  <si>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</si>
  <si>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</si>
  <si>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</si>
  <si>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</si>
  <si>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</si>
  <si>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</si>
  <si>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</si>
  <si>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</si>
  <si>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</si>
  <si>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</si>
  <si>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</si>
  <si>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</si>
  <si>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</si>
  <si>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</si>
  <si>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</si>
  <si>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</si>
  <si>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</si>
  <si>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</si>
  <si>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</si>
  <si>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</si>
  <si>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</si>
  <si>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</si>
  <si>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</si>
  <si>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</si>
  <si>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</si>
  <si>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</si>
  <si>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</si>
  <si>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</si>
  <si>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</si>
  <si>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</si>
  <si>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CMI Inc DBA Corrosion Materials</t>
  </si>
  <si>
    <t xml:space="preserve">Nickel alloy, titanium and other corrosion resistant alloy distributor of bar, pipe/tube, plate/sheet, fittings, fasteners and weld wire.  Corrosion Materials supplies material produced at different manufacturers and all information in this document is directly from our mill partners. </t>
  </si>
  <si>
    <t>DUNS</t>
  </si>
  <si>
    <t>130925675</t>
  </si>
  <si>
    <t>Jacob Rodriguez</t>
  </si>
  <si>
    <t>jrodriguez@corrosionmaterials.com</t>
  </si>
  <si>
    <t>800-455-2276</t>
  </si>
  <si>
    <t>Metallurgist</t>
  </si>
  <si>
    <t>100%</t>
  </si>
  <si>
    <t>CMI Inc does not dictate that the smelters used by its suppliers be validated by any particular organization or through any particular program or protocol.  However, Corrosion Materials does  require its suppliers to provide written certification that the conflict minerals they supply do not originate from the DRC countries.</t>
  </si>
  <si>
    <t xml:space="preserve">http://www.corrosionmaterials.com </t>
  </si>
  <si>
    <t>CID002547</t>
  </si>
  <si>
    <t>H.C. Starck Hermsdorf GmbH</t>
  </si>
  <si>
    <t>Hermsdorf</t>
  </si>
  <si>
    <t>Maharashtra</t>
  </si>
  <si>
    <t>CID002830</t>
  </si>
  <si>
    <t>Xinfeng Huarui Tungsten &amp; Molybdenum New Material Co., Ltd.</t>
  </si>
  <si>
    <t>CID000456</t>
  </si>
  <si>
    <t>Exotech Inc.</t>
  </si>
  <si>
    <t>Pompano Beach</t>
  </si>
  <si>
    <t>CID001758</t>
  </si>
  <si>
    <t>Soft Metais Ltda.</t>
  </si>
  <si>
    <t>Bebedouro</t>
  </si>
  <si>
    <t/>
  </si>
  <si>
    <t>9 Saint Mark Auburn MA 01501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</si>
</sst>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rodriguez@corrosionmaterial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orrosionmaterials.com/" TargetMode="External"/><Relationship Id="rId4" Type="http://schemas.openxmlformats.org/officeDocument/2006/relationships/hyperlink" Target="mailto:jrodriguez@corrosionmaterial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32"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7175ECE-6910-47A9-A686-6645BD34121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C385B7F-00AE-49A0-B998-ECDE3D937B7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9"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A13" sqref="AA1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45138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15803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15803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15803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28" t="s">
        <v>15804</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t="s">
        <v>15804</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t="s">
        <v>15804</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15805</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t="s">
        <v>15804</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15804</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
      </c>
    </row>
    <row r="101" spans="2:7" ht="15" hidden="1">
      <c r="B101" s="236" t="s">
        <v>2481</v>
      </c>
      <c r="D101" s="282" t="str">
        <f>IF(AND(OR($D$27="Yes",$D$27=""),OR($D$33="Yes",$D$33="")),"Unknown","")</f>
        <v>Unknown</v>
      </c>
      <c r="E101" s="282" t="str">
        <f>IF(AND(OR($D$26="Yes",$D$26=""),OR($D$32="Yes",$D$32="")),"None","")</f>
        <v>None</v>
      </c>
      <c r="G101" s="282" t="str">
        <f>IF(OR($D$28="Yes",$D$28=""),"No","")</f>
        <v/>
      </c>
    </row>
    <row r="102" spans="2:7" ht="15" hidden="1">
      <c r="B102" s="236" t="s">
        <v>2482</v>
      </c>
      <c r="D102" s="282" t="str">
        <f>IF(AND(OR($D$28="Yes",$D$28=""),OR($D$34="Yes",$D$34="")),"Yes","")</f>
        <v/>
      </c>
      <c r="E102" s="282" t="str">
        <f>IF(AND(OR($D$27="Yes",$D$27=""),OR($D$33="Yes",$D$33="")),"100%","")</f>
        <v>100%</v>
      </c>
      <c r="G102" s="282" t="str">
        <f>IF(OR($D$29="Yes",$D$29=""),"Yes","")</f>
        <v>Yes</v>
      </c>
    </row>
    <row r="103" spans="2:7" ht="15" hidden="1">
      <c r="B103" s="236" t="s">
        <v>2483</v>
      </c>
      <c r="D103" s="282" t="str">
        <f>IF(AND(OR($D$28="Yes",$D$28=""),OR($D$34="Yes",$D$34="")),"No","")</f>
        <v/>
      </c>
      <c r="E103" s="282" t="str">
        <f>IF(AND(OR($D$27="Yes",$D$27=""),OR($D$33="Yes",$D$33="")),"Greater than 90%","")</f>
        <v>Greater than 90%</v>
      </c>
      <c r="G103" s="282" t="str">
        <f>IF(OR($D$29="Yes",$D$29=""),"No","")</f>
        <v>No</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9DEBD29-6639-45F4-8F84-F9253E6043AB}"/>
    <hyperlink ref="D20" r:id="rId4" xr:uid="{06448716-9293-480E-80C5-398E82A65C01}"/>
    <hyperlink ref="G77" r:id="rId5" xr:uid="{44C41F8C-9B4C-4352-9F95-F72D9575F2B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L13" sqref="L13"/>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
        <v>1128</v>
      </c>
      <c r="C5" s="186" t="s">
        <v>1378</v>
      </c>
      <c r="D5" s="230"/>
      <c r="E5" s="182" t="s">
        <v>1096</v>
      </c>
      <c r="F5" s="182" t="s">
        <v>799</v>
      </c>
      <c r="G5" s="182" t="s">
        <v>13240</v>
      </c>
      <c r="H5" s="183">
        <v>0</v>
      </c>
      <c r="I5" s="184" t="s">
        <v>1832</v>
      </c>
      <c r="J5" s="184" t="s">
        <v>13618</v>
      </c>
      <c r="K5" s="224"/>
      <c r="L5" s="224"/>
      <c r="M5" s="224"/>
      <c r="N5" s="224"/>
      <c r="O5" s="224"/>
      <c r="P5" s="185"/>
      <c r="Q5" s="225"/>
      <c r="R5" s="182" t="str">
        <f ca="1">IF(ISERROR($V5),"",OFFSET('Smelter Look-up'!$C$4,$V5-4,0)&amp;"")</f>
        <v>Xiamen Tungsten Co., Ltd.</v>
      </c>
      <c r="S5" s="181" t="str">
        <f t="shared" ref="S5" ca="1" si="0">IF(B5="","",IF(ISERROR(MATCH($E5,CL,0)),"Unknown",INDIRECT("'C'!$A$"&amp;MATCH($E5,CL,0)+1)))</f>
        <v>CN</v>
      </c>
      <c r="T5" s="181" t="str">
        <f ca="1">IF(B5="","",IF(ISERROR(MATCH($J5,SorP!$B$1:$B$6279,0)),"",INDIRECT("'SorP'!$A$"&amp;MATCH($S5&amp;$J5,SorP!C:C,0))))</f>
        <v>CN-FJ</v>
      </c>
      <c r="U5" s="201"/>
      <c r="V5" s="226">
        <f>IF(C5="",NA(),IF(OR(C5="Smelter not listed",C5="Smelter not yet identified"),MATCH($B5&amp;$D5,'Smelter Look-up'!$J:$J,0),MATCH($B5&amp;$C5,'Smelter Look-up'!$J:$J,0)))</f>
        <v>636</v>
      </c>
      <c r="X5" s="227">
        <f t="shared" ref="X5" si="1">IF(AND(C5="Smelter not listed",OR(LEN(D5)=0,LEN(E5)=0)),1,0)</f>
        <v>0</v>
      </c>
      <c r="AB5" s="228" t="str">
        <f t="shared" ref="AB5" si="2">B5&amp;C5</f>
        <v>TungstenXiamen Tungsten Co., Ltd.</v>
      </c>
    </row>
    <row r="6" spans="1:34" s="227" customFormat="1" ht="19.95" customHeight="1">
      <c r="A6" s="262"/>
      <c r="B6" s="182" t="s">
        <v>1128</v>
      </c>
      <c r="C6" s="186" t="s">
        <v>1</v>
      </c>
      <c r="D6" s="230"/>
      <c r="E6" s="182" t="s">
        <v>2432</v>
      </c>
      <c r="F6" s="182" t="s">
        <v>792</v>
      </c>
      <c r="G6" s="182" t="s">
        <v>13240</v>
      </c>
      <c r="H6" s="183">
        <v>0</v>
      </c>
      <c r="I6" s="184" t="s">
        <v>1826</v>
      </c>
      <c r="J6" s="184" t="s">
        <v>1737</v>
      </c>
      <c r="K6" s="224"/>
      <c r="L6" s="224"/>
      <c r="M6" s="224"/>
      <c r="N6" s="224"/>
      <c r="O6" s="224"/>
      <c r="P6" s="185"/>
      <c r="Q6" s="225"/>
      <c r="R6" s="182" t="str">
        <f ca="1">IF(ISERROR($V6),"",OFFSET('Smelter Look-up'!$C$4,$V6-4,0)&amp;"")</f>
        <v>Global Tungsten &amp; Powders Corp.</v>
      </c>
      <c r="S6" s="181" t="str">
        <f t="shared" ref="S6:S37" ca="1" si="3">IF(B6="","",IF(ISERROR(MATCH($E6,CL,0)),"Unknown",INDIRECT("'C'!$A$"&amp;MATCH($E6,CL,0)+1)))</f>
        <v>US</v>
      </c>
      <c r="T6" s="181" t="str">
        <f ca="1">IF(B6="","",IF(ISERROR(MATCH($J6,SorP!$B$1:$B$6279,0)),"",INDIRECT("'SorP'!$A$"&amp;MATCH($S6&amp;$J6,SorP!C:C,0))))</f>
        <v>US-PA</v>
      </c>
      <c r="U6" s="201"/>
      <c r="V6" s="226">
        <f>IF(C6="",NA(),IF(OR(C6="Smelter not listed",C6="Smelter not yet identified"),MATCH($B6&amp;$D6,'Smelter Look-up'!$J:$J,0),MATCH($B6&amp;$C6,'Smelter Look-up'!$J:$J,0)))</f>
        <v>585</v>
      </c>
      <c r="X6" s="227">
        <f t="shared" ref="X6:X37" si="4">IF(AND(C6="Smelter not listed",OR(LEN(D6)=0,LEN(E6)=0)),1,0)</f>
        <v>0</v>
      </c>
      <c r="AB6" s="228" t="str">
        <f t="shared" ref="AB6:AB37" si="5">B6&amp;C6</f>
        <v>TungstenGlobal Tungsten &amp; Powders Corp.</v>
      </c>
    </row>
    <row r="7" spans="1:34" s="227" customFormat="1" ht="19.95" customHeight="1">
      <c r="A7" s="262"/>
      <c r="B7" s="182" t="s">
        <v>1127</v>
      </c>
      <c r="C7" s="186" t="s">
        <v>1116</v>
      </c>
      <c r="D7" s="230"/>
      <c r="E7" s="182" t="s">
        <v>1096</v>
      </c>
      <c r="F7" s="182" t="s">
        <v>758</v>
      </c>
      <c r="G7" s="182" t="s">
        <v>13240</v>
      </c>
      <c r="H7" s="183">
        <v>0</v>
      </c>
      <c r="I7" s="184" t="s">
        <v>1732</v>
      </c>
      <c r="J7" s="184" t="s">
        <v>13623</v>
      </c>
      <c r="K7" s="224"/>
      <c r="L7" s="224"/>
      <c r="M7" s="224"/>
      <c r="N7" s="224"/>
      <c r="O7" s="224"/>
      <c r="P7" s="185"/>
      <c r="Q7" s="225"/>
      <c r="R7" s="182" t="str">
        <f ca="1">IF(ISERROR($V7),"",OFFSET('Smelter Look-up'!$C$4,$V7-4,0)&amp;"")</f>
        <v>Yanling Jincheng Tantalum &amp; Niobium Co., Ltd.</v>
      </c>
      <c r="S7" s="181" t="str">
        <f t="shared" ca="1" si="3"/>
        <v>CN</v>
      </c>
      <c r="T7" s="181" t="str">
        <f ca="1">IF(B7="","",IF(ISERROR(MATCH($J7,SorP!$B$1:$B$6279,0)),"",INDIRECT("'SorP'!$A$"&amp;MATCH($S7&amp;$J7,SorP!C:C,0))))</f>
        <v>CN-HN</v>
      </c>
      <c r="U7" s="201"/>
      <c r="V7" s="226">
        <f>IF(C7="",NA(),IF(OR(C7="Smelter not listed",C7="Smelter not yet identified"),MATCH($B7&amp;$D7,'Smelter Look-up'!$J:$J,0),MATCH($B7&amp;$C7,'Smelter Look-up'!$J:$J,0)))</f>
        <v>365</v>
      </c>
      <c r="X7" s="227">
        <f t="shared" si="4"/>
        <v>0</v>
      </c>
      <c r="AB7" s="228" t="str">
        <f t="shared" si="5"/>
        <v>TantalumRFH</v>
      </c>
    </row>
    <row r="8" spans="1:34" s="227" customFormat="1" ht="19.95" customHeight="1">
      <c r="A8" s="262" t="s">
        <v>15806</v>
      </c>
      <c r="B8" s="182" t="s">
        <v>1127</v>
      </c>
      <c r="C8" s="186" t="s">
        <v>15807</v>
      </c>
      <c r="D8" s="230"/>
      <c r="E8" s="182" t="s">
        <v>1097</v>
      </c>
      <c r="F8" s="182" t="s">
        <v>15806</v>
      </c>
      <c r="G8" s="182" t="s">
        <v>13240</v>
      </c>
      <c r="H8" s="183">
        <v>0</v>
      </c>
      <c r="I8" s="184" t="s">
        <v>15808</v>
      </c>
      <c r="J8" s="184" t="s">
        <v>4224</v>
      </c>
      <c r="K8" s="224"/>
      <c r="L8" s="224"/>
      <c r="M8" s="224"/>
      <c r="N8" s="224"/>
      <c r="O8" s="224"/>
      <c r="P8" s="185"/>
      <c r="Q8" s="225"/>
      <c r="R8" s="182" t="str">
        <f ca="1">IF(ISERROR($V8),"",OFFSET('Smelter Look-up'!$C$4,$V8-4,0)&amp;"")</f>
        <v/>
      </c>
      <c r="S8" s="181" t="str">
        <f t="shared" ca="1" si="3"/>
        <v>DE</v>
      </c>
      <c r="T8" s="181" t="str">
        <f ca="1">IF(B8="","",IF(ISERROR(MATCH($J8,SorP!$B$1:$B$6279,0)),"",INDIRECT("'SorP'!$A$"&amp;MATCH($S8&amp;$J8,SorP!C:C,0))))</f>
        <v>DE-TH</v>
      </c>
      <c r="U8" s="201"/>
      <c r="V8" s="226" t="e">
        <f>IF(C8="",NA(),IF(OR(C8="Smelter not listed",C8="Smelter not yet identified"),MATCH($B8&amp;$D8,'Smelter Look-up'!$J:$J,0),MATCH($B8&amp;$C8,'Smelter Look-up'!$J:$J,0)))</f>
        <v>#N/A</v>
      </c>
      <c r="X8" s="227">
        <f t="shared" si="4"/>
        <v>0</v>
      </c>
      <c r="AB8" s="228" t="str">
        <f t="shared" si="5"/>
        <v>TantalumH.C. Starck Hermsdorf GmbH</v>
      </c>
    </row>
    <row r="9" spans="1:34" s="227" customFormat="1" ht="19.95" customHeight="1">
      <c r="A9" s="262" t="s">
        <v>794</v>
      </c>
      <c r="B9" s="182" t="s">
        <v>1128</v>
      </c>
      <c r="C9" s="186" t="s">
        <v>1376</v>
      </c>
      <c r="D9" s="230"/>
      <c r="E9" s="182" t="s">
        <v>1096</v>
      </c>
      <c r="F9" s="182" t="s">
        <v>794</v>
      </c>
      <c r="G9" s="182" t="s">
        <v>13240</v>
      </c>
      <c r="H9" s="183">
        <v>0</v>
      </c>
      <c r="I9" s="184" t="s">
        <v>1740</v>
      </c>
      <c r="J9" s="184" t="s">
        <v>13623</v>
      </c>
      <c r="K9" s="224"/>
      <c r="L9" s="224"/>
      <c r="M9" s="224"/>
      <c r="N9" s="224"/>
      <c r="O9" s="224"/>
      <c r="P9" s="185"/>
      <c r="Q9" s="225"/>
      <c r="R9" s="182" t="str">
        <f ca="1">IF(ISERROR($V9),"",OFFSET('Smelter Look-up'!$C$4,$V9-4,0)&amp;"")</f>
        <v>Hunan Jintai New Material Co., Ltd.</v>
      </c>
      <c r="S9" s="181" t="str">
        <f t="shared" ca="1" si="3"/>
        <v>CN</v>
      </c>
      <c r="T9" s="181" t="str">
        <f ca="1">IF(B9="","",IF(ISERROR(MATCH($J9,SorP!$B$1:$B$6279,0)),"",INDIRECT("'SorP'!$A$"&amp;MATCH($S9&amp;$J9,SorP!C:C,0))))</f>
        <v>CN-HN</v>
      </c>
      <c r="U9" s="201"/>
      <c r="V9" s="226">
        <f>IF(C9="",NA(),IF(OR(C9="Smelter not listed",C9="Smelter not yet identified"),MATCH($B9&amp;$D9,'Smelter Look-up'!$J:$J,0),MATCH($B9&amp;$C9,'Smelter Look-up'!$J:$J,0)))</f>
        <v>596</v>
      </c>
      <c r="X9" s="227">
        <f t="shared" si="4"/>
        <v>0</v>
      </c>
      <c r="AB9" s="228" t="str">
        <f t="shared" si="5"/>
        <v>TungstenHunan Chunchang Nonferrous Metals Co., Ltd.</v>
      </c>
    </row>
    <row r="10" spans="1:34" s="227" customFormat="1" ht="19.95" customHeight="1">
      <c r="A10" s="262" t="s">
        <v>789</v>
      </c>
      <c r="B10" s="182" t="s">
        <v>1128</v>
      </c>
      <c r="C10" s="186" t="s">
        <v>148</v>
      </c>
      <c r="D10" s="230"/>
      <c r="E10" s="182" t="s">
        <v>2432</v>
      </c>
      <c r="F10" s="182" t="s">
        <v>789</v>
      </c>
      <c r="G10" s="182" t="s">
        <v>13240</v>
      </c>
      <c r="H10" s="183">
        <v>0</v>
      </c>
      <c r="I10" s="184" t="s">
        <v>1822</v>
      </c>
      <c r="J10" s="184" t="s">
        <v>1823</v>
      </c>
      <c r="K10" s="224"/>
      <c r="L10" s="224"/>
      <c r="M10" s="224"/>
      <c r="N10" s="224"/>
      <c r="O10" s="224"/>
      <c r="P10" s="185"/>
      <c r="Q10" s="225"/>
      <c r="R10" s="182" t="str">
        <f ca="1">IF(ISERROR($V10),"",OFFSET('Smelter Look-up'!$C$4,$V10-4,0)&amp;"")</f>
        <v>Kennametal Huntsville</v>
      </c>
      <c r="S10" s="181" t="str">
        <f t="shared" ca="1" si="3"/>
        <v>US</v>
      </c>
      <c r="T10" s="181" t="str">
        <f ca="1">IF(B10="","",IF(ISERROR(MATCH($J10,SorP!$B$1:$B$6279,0)),"",INDIRECT("'SorP'!$A$"&amp;MATCH($S10&amp;$J10,SorP!C:C,0))))</f>
        <v>US-AL</v>
      </c>
      <c r="U10" s="201"/>
      <c r="V10" s="226">
        <f>IF(C10="",NA(),IF(OR(C10="Smelter not listed",C10="Smelter not yet identified"),MATCH($B10&amp;$D10,'Smelter Look-up'!$J:$J,0),MATCH($B10&amp;$C10,'Smelter Look-up'!$J:$J,0)))</f>
        <v>612</v>
      </c>
      <c r="X10" s="227">
        <f t="shared" si="4"/>
        <v>0</v>
      </c>
      <c r="AB10" s="228" t="str">
        <f t="shared" si="5"/>
        <v>TungstenKennametal Huntsville</v>
      </c>
    </row>
    <row r="11" spans="1:34" s="227" customFormat="1" ht="19.95" customHeight="1">
      <c r="A11" s="262" t="s">
        <v>749</v>
      </c>
      <c r="B11" s="182" t="s">
        <v>1127</v>
      </c>
      <c r="C11" s="186" t="s">
        <v>4</v>
      </c>
      <c r="D11" s="230"/>
      <c r="E11" s="182" t="s">
        <v>1096</v>
      </c>
      <c r="F11" s="182" t="s">
        <v>749</v>
      </c>
      <c r="G11" s="182" t="s">
        <v>13240</v>
      </c>
      <c r="H11" s="183">
        <v>0</v>
      </c>
      <c r="I11" s="184" t="s">
        <v>1720</v>
      </c>
      <c r="J11" s="184" t="s">
        <v>13619</v>
      </c>
      <c r="K11" s="224"/>
      <c r="L11" s="224"/>
      <c r="M11" s="224"/>
      <c r="N11" s="224"/>
      <c r="O11" s="224"/>
      <c r="P11" s="185"/>
      <c r="Q11" s="225"/>
      <c r="R11" s="182" t="str">
        <f ca="1">IF(ISERROR($V11),"",OFFSET('Smelter Look-up'!$C$4,$V11-4,0)&amp;"")</f>
        <v>JiuJiang JinXin Nonferrous Metals Co., Ltd.</v>
      </c>
      <c r="S11" s="181" t="str">
        <f t="shared" ca="1" si="3"/>
        <v>CN</v>
      </c>
      <c r="T11" s="181" t="str">
        <f ca="1">IF(B11="","",IF(ISERROR(MATCH($J11,SorP!$B$1:$B$6279,0)),"",INDIRECT("'SorP'!$A$"&amp;MATCH($S11&amp;$J11,SorP!C:C,0))))</f>
        <v>CN-JX</v>
      </c>
      <c r="U11" s="201"/>
      <c r="V11" s="226">
        <f>IF(C11="",NA(),IF(OR(C11="Smelter not listed",C11="Smelter not yet identified"),MATCH($B11&amp;$D11,'Smelter Look-up'!$J:$J,0),MATCH($B11&amp;$C11,'Smelter Look-up'!$J:$J,0)))</f>
        <v>341</v>
      </c>
      <c r="X11" s="227">
        <f t="shared" si="4"/>
        <v>0</v>
      </c>
      <c r="AB11" s="228" t="str">
        <f t="shared" si="5"/>
        <v>TantalumJiuJiang JinXin Nonferrous Metals Co., Ltd.</v>
      </c>
    </row>
    <row r="12" spans="1:34" s="227" customFormat="1" ht="19.95" customHeight="1">
      <c r="A12" s="262" t="s">
        <v>1401</v>
      </c>
      <c r="B12" s="182" t="s">
        <v>1128</v>
      </c>
      <c r="C12" s="186" t="s">
        <v>1400</v>
      </c>
      <c r="D12" s="230"/>
      <c r="E12" s="182" t="s">
        <v>1096</v>
      </c>
      <c r="F12" s="182" t="s">
        <v>1401</v>
      </c>
      <c r="G12" s="182" t="s">
        <v>13240</v>
      </c>
      <c r="H12" s="183">
        <v>0</v>
      </c>
      <c r="I12" s="184" t="s">
        <v>1774</v>
      </c>
      <c r="J12" s="184" t="s">
        <v>13623</v>
      </c>
      <c r="K12" s="224"/>
      <c r="L12" s="224"/>
      <c r="M12" s="224"/>
      <c r="N12" s="224"/>
      <c r="O12" s="224"/>
      <c r="P12" s="185"/>
      <c r="Q12" s="225"/>
      <c r="R12" s="182" t="str">
        <f ca="1">IF(ISERROR($V12),"",OFFSET('Smelter Look-up'!$C$4,$V12-4,0)&amp;"")</f>
        <v>Hunan Shizhuyuan Nonferrous Metals Co., Ltd. Chenzhou Tungsten Products Branch</v>
      </c>
      <c r="S12" s="181" t="str">
        <f t="shared" ca="1" si="3"/>
        <v>CN</v>
      </c>
      <c r="T12" s="181" t="str">
        <f ca="1">IF(B12="","",IF(ISERROR(MATCH($J12,SorP!$B$1:$B$6279,0)),"",INDIRECT("'SorP'!$A$"&amp;MATCH($S12&amp;$J12,SorP!C:C,0))))</f>
        <v>CN-HN</v>
      </c>
      <c r="U12" s="201"/>
      <c r="V12" s="226">
        <f>IF(C12="",NA(),IF(OR(C12="Smelter not listed",C12="Smelter not yet identified"),MATCH($B12&amp;$D12,'Smelter Look-up'!$J:$J,0),MATCH($B12&amp;$C12,'Smelter Look-up'!$J:$J,0)))</f>
        <v>569</v>
      </c>
      <c r="X12" s="227">
        <f t="shared" si="4"/>
        <v>0</v>
      </c>
      <c r="AB12" s="228" t="str">
        <f t="shared" si="5"/>
        <v>TungstenChenzhou Diamond Tungsten Products Co., Ltd.</v>
      </c>
    </row>
    <row r="13" spans="1:34" s="227" customFormat="1" ht="19.95" customHeight="1">
      <c r="A13" s="262" t="s">
        <v>788</v>
      </c>
      <c r="B13" s="182" t="s">
        <v>1128</v>
      </c>
      <c r="C13" s="186" t="s">
        <v>13809</v>
      </c>
      <c r="D13" s="230"/>
      <c r="E13" s="182" t="s">
        <v>1104</v>
      </c>
      <c r="F13" s="182" t="s">
        <v>788</v>
      </c>
      <c r="G13" s="182" t="s">
        <v>13240</v>
      </c>
      <c r="H13" s="183">
        <v>0</v>
      </c>
      <c r="I13" s="184" t="s">
        <v>2132</v>
      </c>
      <c r="J13" s="184" t="s">
        <v>2133</v>
      </c>
      <c r="K13" s="224"/>
      <c r="L13" s="224"/>
      <c r="M13" s="224"/>
      <c r="N13" s="224"/>
      <c r="O13" s="224"/>
      <c r="P13" s="185"/>
      <c r="Q13" s="225"/>
      <c r="R13" s="182" t="str">
        <f ca="1">IF(ISERROR($V13),"",OFFSET('Smelter Look-up'!$C$4,$V13-4,0)&amp;"")</f>
        <v>A.L.M.T. Corp.</v>
      </c>
      <c r="S13" s="181" t="str">
        <f t="shared" ca="1" si="3"/>
        <v>JP</v>
      </c>
      <c r="T13" s="181" t="str">
        <f ca="1">IF(B13="","",IF(ISERROR(MATCH($J13,SorP!$B$1:$B$6279,0)),"",INDIRECT("'SorP'!$A$"&amp;MATCH($S13&amp;$J13,SorP!C:C,0))))</f>
        <v>JP-16</v>
      </c>
      <c r="U13" s="201"/>
      <c r="V13" s="226">
        <f>IF(C13="",NA(),IF(OR(C13="Smelter not listed",C13="Smelter not yet identified"),MATCH($B13&amp;$D13,'Smelter Look-up'!$J:$J,0),MATCH($B13&amp;$C13,'Smelter Look-up'!$J:$J,0)))</f>
        <v>557</v>
      </c>
      <c r="X13" s="227">
        <f t="shared" si="4"/>
        <v>0</v>
      </c>
      <c r="AB13" s="228" t="str">
        <f t="shared" si="5"/>
        <v>TungstenA.L.M.T. Corp.</v>
      </c>
    </row>
    <row r="14" spans="1:34" s="227" customFormat="1" ht="19.95" customHeight="1">
      <c r="A14" s="262" t="s">
        <v>13812</v>
      </c>
      <c r="B14" s="182" t="s">
        <v>1128</v>
      </c>
      <c r="C14" s="186" t="s">
        <v>15123</v>
      </c>
      <c r="D14" s="230"/>
      <c r="E14" s="182" t="s">
        <v>1096</v>
      </c>
      <c r="F14" s="182" t="s">
        <v>13812</v>
      </c>
      <c r="G14" s="182" t="s">
        <v>13240</v>
      </c>
      <c r="H14" s="183">
        <v>0</v>
      </c>
      <c r="I14" s="184" t="s">
        <v>1615</v>
      </c>
      <c r="J14" s="184" t="s">
        <v>13621</v>
      </c>
      <c r="K14" s="224"/>
      <c r="L14" s="224"/>
      <c r="M14" s="224"/>
      <c r="N14" s="224"/>
      <c r="O14" s="224"/>
      <c r="P14" s="185"/>
      <c r="Q14" s="225"/>
      <c r="R14" s="182" t="str">
        <f ca="1">IF(ISERROR($V14),"",OFFSET('Smelter Look-up'!$C$4,$V14-4,0)&amp;"")</f>
        <v>China Molybdenum Tungsten Co., Ltd.</v>
      </c>
      <c r="S14" s="181" t="str">
        <f t="shared" ca="1" si="3"/>
        <v>CN</v>
      </c>
      <c r="T14" s="181" t="str">
        <f ca="1">IF(B14="","",IF(ISERROR(MATCH($J14,SorP!$B$1:$B$6279,0)),"",INDIRECT("'SorP'!$A$"&amp;MATCH($S14&amp;$J14,SorP!C:C,0))))</f>
        <v>CN-HA</v>
      </c>
      <c r="U14" s="201"/>
      <c r="V14" s="226">
        <f>IF(C14="",NA(),IF(OR(C14="Smelter not listed",C14="Smelter not yet identified"),MATCH($B14&amp;$D14,'Smelter Look-up'!$J:$J,0),MATCH($B14&amp;$C14,'Smelter Look-up'!$J:$J,0)))</f>
        <v>571</v>
      </c>
      <c r="X14" s="227">
        <f t="shared" si="4"/>
        <v>0</v>
      </c>
      <c r="AB14" s="228" t="str">
        <f t="shared" si="5"/>
        <v>TungstenChina Molybdenum Tungsten Co., Ltd.</v>
      </c>
    </row>
    <row r="15" spans="1:34" s="227" customFormat="1" ht="19.95" customHeight="1">
      <c r="A15" s="262" t="s">
        <v>762</v>
      </c>
      <c r="B15" s="182" t="s">
        <v>1127</v>
      </c>
      <c r="C15" s="186" t="s">
        <v>1738</v>
      </c>
      <c r="D15" s="230"/>
      <c r="E15" s="182" t="s">
        <v>1105</v>
      </c>
      <c r="F15" s="182" t="s">
        <v>762</v>
      </c>
      <c r="G15" s="182" t="s">
        <v>13240</v>
      </c>
      <c r="H15" s="183">
        <v>0</v>
      </c>
      <c r="I15" s="184" t="s">
        <v>1606</v>
      </c>
      <c r="J15" s="184" t="s">
        <v>7058</v>
      </c>
      <c r="K15" s="224"/>
      <c r="L15" s="224"/>
      <c r="M15" s="224"/>
      <c r="N15" s="224"/>
      <c r="O15" s="224"/>
      <c r="P15" s="185"/>
      <c r="Q15" s="225"/>
      <c r="R15" s="182" t="str">
        <f ca="1">IF(ISERROR($V15),"",OFFSET('Smelter Look-up'!$C$4,$V15-4,0)&amp;"")</f>
        <v>Ulba Metallurgical Plant JSC</v>
      </c>
      <c r="S15" s="181" t="str">
        <f t="shared" ca="1" si="3"/>
        <v>KZ</v>
      </c>
      <c r="T15" s="181" t="str">
        <f ca="1">IF(B15="","",IF(ISERROR(MATCH($J15,SorP!$B$1:$B$6279,0)),"",INDIRECT("'SorP'!$A$"&amp;MATCH($S15&amp;$J15,SorP!C:C,0))))</f>
        <v>KZ-KAR</v>
      </c>
      <c r="U15" s="201"/>
      <c r="V15" s="226">
        <f>IF(C15="",NA(),IF(OR(C15="Smelter not listed",C15="Smelter not yet identified"),MATCH($B15&amp;$D15,'Smelter Look-up'!$J:$J,0),MATCH($B15&amp;$C15,'Smelter Look-up'!$J:$J,0)))</f>
        <v>379</v>
      </c>
      <c r="X15" s="227">
        <f t="shared" si="4"/>
        <v>0</v>
      </c>
      <c r="AB15" s="228" t="str">
        <f t="shared" si="5"/>
        <v>TantalumUlba Metallurgical Plant JSC</v>
      </c>
    </row>
    <row r="16" spans="1:34" s="227" customFormat="1" ht="19.95" customHeight="1">
      <c r="A16" s="262" t="s">
        <v>1422</v>
      </c>
      <c r="B16" s="182" t="s">
        <v>1128</v>
      </c>
      <c r="C16" s="186" t="s">
        <v>15082</v>
      </c>
      <c r="D16" s="230"/>
      <c r="E16" s="182" t="s">
        <v>1097</v>
      </c>
      <c r="F16" s="182" t="s">
        <v>1422</v>
      </c>
      <c r="G16" s="182" t="s">
        <v>13240</v>
      </c>
      <c r="H16" s="183">
        <v>0</v>
      </c>
      <c r="I16" s="184" t="s">
        <v>1750</v>
      </c>
      <c r="J16" s="184" t="s">
        <v>1543</v>
      </c>
      <c r="K16" s="224"/>
      <c r="L16" s="224"/>
      <c r="M16" s="224"/>
      <c r="N16" s="224"/>
      <c r="O16" s="224"/>
      <c r="P16" s="185"/>
      <c r="Q16" s="225"/>
      <c r="R16" s="182" t="str">
        <f ca="1">IF(ISERROR($V16),"",OFFSET('Smelter Look-up'!$C$4,$V16-4,0)&amp;"")</f>
        <v>TANIOBIS Smelting GmbH &amp; Co. KG</v>
      </c>
      <c r="S16" s="181" t="str">
        <f t="shared" ca="1" si="3"/>
        <v>DE</v>
      </c>
      <c r="T16" s="181" t="str">
        <f ca="1">IF(B16="","",IF(ISERROR(MATCH($J16,SorP!$B$1:$B$6279,0)),"",INDIRECT("'SorP'!$A$"&amp;MATCH($S16&amp;$J16,SorP!C:C,0))))</f>
        <v>DE-BW</v>
      </c>
      <c r="U16" s="201"/>
      <c r="V16" s="226">
        <f>IF(C16="",NA(),IF(OR(C16="Smelter not listed",C16="Smelter not yet identified"),MATCH($B16&amp;$D16,'Smelter Look-up'!$J:$J,0),MATCH($B16&amp;$C16,'Smelter Look-up'!$J:$J,0)))</f>
        <v>627</v>
      </c>
      <c r="X16" s="227">
        <f t="shared" si="4"/>
        <v>0</v>
      </c>
      <c r="AB16" s="228" t="str">
        <f t="shared" si="5"/>
        <v>TungstenTANIOBIS Smelting GmbH &amp; Co. KG</v>
      </c>
    </row>
    <row r="17" spans="1:28" s="227" customFormat="1" ht="19.95" customHeight="1">
      <c r="A17" s="262" t="s">
        <v>1393</v>
      </c>
      <c r="B17" s="182" t="s">
        <v>1127</v>
      </c>
      <c r="C17" s="186" t="s">
        <v>2172</v>
      </c>
      <c r="D17" s="230"/>
      <c r="E17" s="182" t="s">
        <v>1096</v>
      </c>
      <c r="F17" s="182" t="s">
        <v>1393</v>
      </c>
      <c r="G17" s="182" t="s">
        <v>13240</v>
      </c>
      <c r="H17" s="183">
        <v>0</v>
      </c>
      <c r="I17" s="184" t="s">
        <v>1744</v>
      </c>
      <c r="J17" s="184" t="s">
        <v>13619</v>
      </c>
      <c r="K17" s="224"/>
      <c r="L17" s="224"/>
      <c r="M17" s="224"/>
      <c r="N17" s="224"/>
      <c r="O17" s="224"/>
      <c r="P17" s="185"/>
      <c r="Q17" s="225"/>
      <c r="R17" s="182" t="str">
        <f ca="1">IF(ISERROR($V17),"",OFFSET('Smelter Look-up'!$C$4,$V17-4,0)&amp;"")</f>
        <v>Jiangxi Dinghai Tantalum &amp; Niobium Co., Ltd.</v>
      </c>
      <c r="S17" s="181" t="str">
        <f t="shared" ca="1" si="3"/>
        <v>CN</v>
      </c>
      <c r="T17" s="181" t="str">
        <f ca="1">IF(B17="","",IF(ISERROR(MATCH($J17,SorP!$B$1:$B$6279,0)),"",INDIRECT("'SorP'!$A$"&amp;MATCH($S17&amp;$J17,SorP!C:C,0))))</f>
        <v>CN-JX</v>
      </c>
      <c r="U17" s="201"/>
      <c r="V17" s="226">
        <f>IF(C17="",NA(),IF(OR(C17="Smelter not listed",C17="Smelter not yet identified"),MATCH($B17&amp;$D17,'Smelter Look-up'!$J:$J,0),MATCH($B17&amp;$C17,'Smelter Look-up'!$J:$J,0)))</f>
        <v>339</v>
      </c>
      <c r="X17" s="227">
        <f t="shared" si="4"/>
        <v>0</v>
      </c>
      <c r="AB17" s="228" t="str">
        <f t="shared" si="5"/>
        <v>TantalumJiangxi Dinghai Tantalum &amp; Niobium Co., Ltd.</v>
      </c>
    </row>
    <row r="18" spans="1:28" s="227" customFormat="1" ht="19.95" customHeight="1">
      <c r="A18" s="181" t="s">
        <v>2271</v>
      </c>
      <c r="B18" s="182" t="s">
        <v>1128</v>
      </c>
      <c r="C18" s="186" t="s">
        <v>2537</v>
      </c>
      <c r="D18" s="230"/>
      <c r="E18" s="182" t="s">
        <v>879</v>
      </c>
      <c r="F18" s="182" t="s">
        <v>2271</v>
      </c>
      <c r="G18" s="182" t="s">
        <v>13240</v>
      </c>
      <c r="H18" s="183">
        <v>0</v>
      </c>
      <c r="I18" s="184" t="s">
        <v>2272</v>
      </c>
      <c r="J18" s="184" t="s">
        <v>9959</v>
      </c>
      <c r="K18" s="224"/>
      <c r="L18" s="224"/>
      <c r="M18" s="224"/>
      <c r="N18" s="224"/>
      <c r="O18" s="224"/>
      <c r="P18" s="185"/>
      <c r="Q18" s="225"/>
      <c r="R18" s="182" t="str">
        <f ca="1">IF(ISERROR($V18),"",OFFSET('Smelter Look-up'!$C$4,$V18-4,0)&amp;"")</f>
        <v>Moliren Ltd.</v>
      </c>
      <c r="S18" s="181" t="str">
        <f t="shared" ca="1" si="3"/>
        <v>RU</v>
      </c>
      <c r="T18" s="181" t="str">
        <f ca="1">IF(B18="","",IF(ISERROR(MATCH($J18,SorP!$B$1:$B$6279,0)),"",INDIRECT("'SorP'!$A$"&amp;MATCH($S18&amp;$J18,SorP!C:C,0))))</f>
        <v>RU-MOS</v>
      </c>
      <c r="U18" s="201"/>
      <c r="V18" s="226">
        <f>IF(C18="",NA(),IF(OR(C18="Smelter not listed",C18="Smelter not yet identified"),MATCH($B18&amp;$D18,'Smelter Look-up'!$J:$J,0),MATCH($B18&amp;$C18,'Smelter Look-up'!$J:$J,0)))</f>
        <v>618</v>
      </c>
      <c r="X18" s="227">
        <f t="shared" si="4"/>
        <v>0</v>
      </c>
      <c r="AB18" s="228" t="str">
        <f t="shared" si="5"/>
        <v>TungstenMoliren Ltd.</v>
      </c>
    </row>
    <row r="19" spans="1:28" s="227" customFormat="1" ht="20.399999999999999">
      <c r="A19" s="181" t="s">
        <v>756</v>
      </c>
      <c r="B19" s="182" t="s">
        <v>1127</v>
      </c>
      <c r="C19" s="186" t="s">
        <v>1026</v>
      </c>
      <c r="D19" s="230"/>
      <c r="E19" s="182" t="s">
        <v>1096</v>
      </c>
      <c r="F19" s="182" t="s">
        <v>756</v>
      </c>
      <c r="G19" s="182" t="s">
        <v>13240</v>
      </c>
      <c r="H19" s="183">
        <v>0</v>
      </c>
      <c r="I19" s="184" t="s">
        <v>1730</v>
      </c>
      <c r="J19" s="184" t="s">
        <v>13605</v>
      </c>
      <c r="K19" s="224"/>
      <c r="L19" s="224"/>
      <c r="M19" s="224"/>
      <c r="N19" s="224"/>
      <c r="O19" s="224"/>
      <c r="P19" s="185"/>
      <c r="Q19" s="225"/>
      <c r="R19" s="182" t="str">
        <f ca="1">IF(ISERROR($V19),"",OFFSET('Smelter Look-up'!$C$4,$V19-4,0)&amp;"")</f>
        <v>Ningxia Orient Tantalum Industry Co., Ltd.</v>
      </c>
      <c r="S19" s="181" t="str">
        <f t="shared" ca="1" si="3"/>
        <v>CN</v>
      </c>
      <c r="T19" s="181" t="str">
        <f ca="1">IF(B19="","",IF(ISERROR(MATCH($J19,SorP!$B$1:$B$6279,0)),"",INDIRECT("'SorP'!$A$"&amp;MATCH($S19&amp;$J19,SorP!C:C,0))))</f>
        <v>CN-NX</v>
      </c>
      <c r="U19" s="201"/>
      <c r="V19" s="226">
        <f>IF(C19="",NA(),IF(OR(C19="Smelter not listed",C19="Smelter not yet identified"),MATCH($B19&amp;$D19,'Smelter Look-up'!$J:$J,0),MATCH($B19&amp;$C19,'Smelter Look-up'!$J:$J,0)))</f>
        <v>358</v>
      </c>
      <c r="X19" s="227">
        <f t="shared" si="4"/>
        <v>0</v>
      </c>
      <c r="AB19" s="228" t="str">
        <f t="shared" si="5"/>
        <v>TantalumNingxia Orient Tantalum Industry Co., Ltd.</v>
      </c>
    </row>
    <row r="20" spans="1:28" s="227" customFormat="1" ht="20.399999999999999">
      <c r="A20" s="181" t="s">
        <v>750</v>
      </c>
      <c r="B20" s="182" t="s">
        <v>1127</v>
      </c>
      <c r="C20" s="186" t="s">
        <v>46</v>
      </c>
      <c r="D20" s="230"/>
      <c r="E20" s="182" t="s">
        <v>1096</v>
      </c>
      <c r="F20" s="182" t="s">
        <v>750</v>
      </c>
      <c r="G20" s="182" t="s">
        <v>13240</v>
      </c>
      <c r="H20" s="183">
        <v>0</v>
      </c>
      <c r="I20" s="184" t="s">
        <v>1720</v>
      </c>
      <c r="J20" s="184" t="s">
        <v>13619</v>
      </c>
      <c r="K20" s="224"/>
      <c r="L20" s="224"/>
      <c r="M20" s="224"/>
      <c r="N20" s="224"/>
      <c r="O20" s="224"/>
      <c r="P20" s="185"/>
      <c r="Q20" s="225"/>
      <c r="R20" s="182" t="str">
        <f ca="1">IF(ISERROR($V20),"",OFFSET('Smelter Look-up'!$C$4,$V20-4,0)&amp;"")</f>
        <v>Jiujiang Tanbre Co., Ltd.</v>
      </c>
      <c r="S20" s="181" t="str">
        <f t="shared" ca="1" si="3"/>
        <v>CN</v>
      </c>
      <c r="T20" s="181" t="str">
        <f ca="1">IF(B20="","",IF(ISERROR(MATCH($J20,SorP!$B$1:$B$6279,0)),"",INDIRECT("'SorP'!$A$"&amp;MATCH($S20&amp;$J20,SorP!C:C,0))))</f>
        <v>CN-JX</v>
      </c>
      <c r="U20" s="201"/>
      <c r="V20" s="226">
        <f>IF(C20="",NA(),IF(OR(C20="Smelter not listed",C20="Smelter not yet identified"),MATCH($B20&amp;$D20,'Smelter Look-up'!$J:$J,0),MATCH($B20&amp;$C20,'Smelter Look-up'!$J:$J,0)))</f>
        <v>343</v>
      </c>
      <c r="X20" s="227">
        <f t="shared" si="4"/>
        <v>0</v>
      </c>
      <c r="AB20" s="228" t="str">
        <f t="shared" si="5"/>
        <v>TantalumJiujiang Tanbre Co., Ltd.</v>
      </c>
    </row>
    <row r="21" spans="1:28" s="227" customFormat="1" ht="25.2">
      <c r="A21" s="181" t="s">
        <v>757</v>
      </c>
      <c r="B21" s="182" t="s">
        <v>1127</v>
      </c>
      <c r="C21" s="186" t="s">
        <v>813</v>
      </c>
      <c r="D21" s="230"/>
      <c r="E21" s="182" t="s">
        <v>2432</v>
      </c>
      <c r="F21" s="182" t="s">
        <v>757</v>
      </c>
      <c r="G21" s="182" t="s">
        <v>13240</v>
      </c>
      <c r="H21" s="183">
        <v>0</v>
      </c>
      <c r="I21" s="184" t="s">
        <v>13826</v>
      </c>
      <c r="J21" s="184" t="s">
        <v>2263</v>
      </c>
      <c r="K21" s="224"/>
      <c r="L21" s="224"/>
      <c r="M21" s="224"/>
      <c r="N21" s="224"/>
      <c r="O21" s="224"/>
      <c r="P21" s="185"/>
      <c r="Q21" s="225"/>
      <c r="R21" s="182" t="str">
        <f ca="1">IF(ISERROR($V21),"",OFFSET('Smelter Look-up'!$C$4,$V21-4,0)&amp;"")</f>
        <v>QuantumClean</v>
      </c>
      <c r="S21" s="181" t="str">
        <f t="shared" ca="1" si="3"/>
        <v>US</v>
      </c>
      <c r="T21" s="181" t="str">
        <f ca="1">IF(B21="","",IF(ISERROR(MATCH($J21,SorP!$B$1:$B$6279,0)),"",INDIRECT("'SorP'!$A$"&amp;MATCH($S21&amp;$J21,SorP!C:C,0))))</f>
        <v>US-TX</v>
      </c>
      <c r="U21" s="201"/>
      <c r="V21" s="226">
        <f>IF(C21="",NA(),IF(OR(C21="Smelter not listed",C21="Smelter not yet identified"),MATCH($B21&amp;$D21,'Smelter Look-up'!$J:$J,0),MATCH($B21&amp;$C21,'Smelter Look-up'!$J:$J,0)))</f>
        <v>361</v>
      </c>
      <c r="X21" s="227">
        <f t="shared" si="4"/>
        <v>0</v>
      </c>
      <c r="AB21" s="228" t="str">
        <f t="shared" si="5"/>
        <v>TantalumQuantumClean</v>
      </c>
    </row>
    <row r="22" spans="1:28" s="227" customFormat="1" ht="20.399999999999999">
      <c r="A22" s="181" t="s">
        <v>142</v>
      </c>
      <c r="B22" s="182" t="s">
        <v>1128</v>
      </c>
      <c r="C22" s="186" t="s">
        <v>153</v>
      </c>
      <c r="D22" s="230"/>
      <c r="E22" s="182" t="s">
        <v>1096</v>
      </c>
      <c r="F22" s="182" t="s">
        <v>142</v>
      </c>
      <c r="G22" s="182" t="s">
        <v>13240</v>
      </c>
      <c r="H22" s="183">
        <v>0</v>
      </c>
      <c r="I22" s="184" t="s">
        <v>1773</v>
      </c>
      <c r="J22" s="184" t="s">
        <v>13619</v>
      </c>
      <c r="K22" s="224"/>
      <c r="L22" s="224"/>
      <c r="M22" s="224"/>
      <c r="N22" s="224"/>
      <c r="O22" s="224"/>
      <c r="P22" s="185"/>
      <c r="Q22" s="225"/>
      <c r="R22" s="182" t="str">
        <f ca="1">IF(ISERROR($V22),"",OFFSET('Smelter Look-up'!$C$4,$V22-4,0)&amp;"")</f>
        <v>Jiangxi Xinsheng Tungsten Industry Co., Ltd.</v>
      </c>
      <c r="S22" s="181" t="str">
        <f t="shared" ca="1" si="3"/>
        <v>CN</v>
      </c>
      <c r="T22" s="181" t="str">
        <f ca="1">IF(B22="","",IF(ISERROR(MATCH($J22,SorP!$B$1:$B$6279,0)),"",INDIRECT("'SorP'!$A$"&amp;MATCH($S22&amp;$J22,SorP!C:C,0))))</f>
        <v>CN-JX</v>
      </c>
      <c r="U22" s="201"/>
      <c r="V22" s="226">
        <f>IF(C22="",NA(),IF(OR(C22="Smelter not listed",C22="Smelter not yet identified"),MATCH($B22&amp;$D22,'Smelter Look-up'!$J:$J,0),MATCH($B22&amp;$C22,'Smelter Look-up'!$J:$J,0)))</f>
        <v>607</v>
      </c>
      <c r="X22" s="227">
        <f t="shared" si="4"/>
        <v>0</v>
      </c>
      <c r="AB22" s="228" t="str">
        <f t="shared" si="5"/>
        <v>TungstenJiangxi Xinsheng Tungsten Industry Co., Ltd.</v>
      </c>
    </row>
    <row r="23" spans="1:28" s="227" customFormat="1" ht="25.2">
      <c r="A23" s="181" t="s">
        <v>1841</v>
      </c>
      <c r="B23" s="182" t="s">
        <v>1128</v>
      </c>
      <c r="C23" s="186" t="s">
        <v>1840</v>
      </c>
      <c r="D23" s="230"/>
      <c r="E23" s="182" t="s">
        <v>2432</v>
      </c>
      <c r="F23" s="182" t="s">
        <v>1841</v>
      </c>
      <c r="G23" s="182" t="s">
        <v>13240</v>
      </c>
      <c r="H23" s="183">
        <v>0</v>
      </c>
      <c r="I23" s="184" t="s">
        <v>1842</v>
      </c>
      <c r="J23" s="184" t="s">
        <v>1617</v>
      </c>
      <c r="K23" s="224"/>
      <c r="L23" s="224"/>
      <c r="M23" s="224"/>
      <c r="N23" s="224"/>
      <c r="O23" s="224"/>
      <c r="P23" s="185"/>
      <c r="Q23" s="225"/>
      <c r="R23" s="182" t="str">
        <f ca="1">IF(ISERROR($V23),"",OFFSET('Smelter Look-up'!$C$4,$V23-4,0)&amp;"")</f>
        <v>Niagara Refining LLC</v>
      </c>
      <c r="S23" s="181" t="str">
        <f t="shared" ca="1" si="3"/>
        <v>US</v>
      </c>
      <c r="T23" s="181" t="str">
        <f ca="1">IF(B23="","",IF(ISERROR(MATCH($J23,SorP!$B$1:$B$6279,0)),"",INDIRECT("'SorP'!$A$"&amp;MATCH($S23&amp;$J23,SorP!C:C,0))))</f>
        <v>US-NY</v>
      </c>
      <c r="U23" s="201"/>
      <c r="V23" s="226">
        <f>IF(C23="",NA(),IF(OR(C23="Smelter not listed",C23="Smelter not yet identified"),MATCH($B23&amp;$D23,'Smelter Look-up'!$J:$J,0),MATCH($B23&amp;$C23,'Smelter Look-up'!$J:$J,0)))</f>
        <v>621</v>
      </c>
      <c r="X23" s="227">
        <f t="shared" si="4"/>
        <v>0</v>
      </c>
      <c r="AB23" s="228" t="str">
        <f t="shared" si="5"/>
        <v>TungstenNiagara Refining LLC</v>
      </c>
    </row>
    <row r="24" spans="1:28" s="227" customFormat="1" ht="20.399999999999999">
      <c r="A24" s="181" t="s">
        <v>1419</v>
      </c>
      <c r="B24" s="182" t="s">
        <v>1127</v>
      </c>
      <c r="C24" s="186" t="s">
        <v>15084</v>
      </c>
      <c r="D24" s="230"/>
      <c r="E24" s="182" t="s">
        <v>1109</v>
      </c>
      <c r="F24" s="182" t="s">
        <v>1419</v>
      </c>
      <c r="G24" s="182" t="s">
        <v>13240</v>
      </c>
      <c r="H24" s="183">
        <v>0</v>
      </c>
      <c r="I24" s="184" t="s">
        <v>1745</v>
      </c>
      <c r="J24" s="184" t="s">
        <v>1746</v>
      </c>
      <c r="K24" s="224"/>
      <c r="L24" s="224"/>
      <c r="M24" s="224"/>
      <c r="N24" s="224"/>
      <c r="O24" s="224"/>
      <c r="P24" s="185"/>
      <c r="Q24" s="225"/>
      <c r="R24" s="182" t="str">
        <f ca="1">IF(ISERROR($V24),"",OFFSET('Smelter Look-up'!$C$4,$V24-4,0)&amp;"")</f>
        <v>KEMET de Mexico</v>
      </c>
      <c r="S24" s="181" t="str">
        <f t="shared" ca="1" si="3"/>
        <v>MX</v>
      </c>
      <c r="T24" s="181" t="str">
        <f ca="1">IF(B24="","",IF(ISERROR(MATCH($J24,SorP!$B$1:$B$6279,0)),"",INDIRECT("'SorP'!$A$"&amp;MATCH($S24&amp;$J24,SorP!C:C,0))))</f>
        <v>MX-TAM</v>
      </c>
      <c r="U24" s="201"/>
      <c r="V24" s="226">
        <f>IF(C24="",NA(),IF(OR(C24="Smelter not listed",C24="Smelter not yet identified"),MATCH($B24&amp;$D24,'Smelter Look-up'!$J:$J,0),MATCH($B24&amp;$C24,'Smelter Look-up'!$J:$J,0)))</f>
        <v>346</v>
      </c>
      <c r="X24" s="227">
        <f t="shared" si="4"/>
        <v>0</v>
      </c>
      <c r="AB24" s="228" t="str">
        <f t="shared" si="5"/>
        <v>TantalumKEMET de Mexico</v>
      </c>
    </row>
    <row r="25" spans="1:28" s="227" customFormat="1" ht="20.399999999999999">
      <c r="A25" s="181" t="s">
        <v>1421</v>
      </c>
      <c r="B25" s="182" t="s">
        <v>1128</v>
      </c>
      <c r="C25" s="186" t="s">
        <v>2536</v>
      </c>
      <c r="D25" s="230"/>
      <c r="E25" s="182" t="s">
        <v>1097</v>
      </c>
      <c r="F25" s="182" t="s">
        <v>1421</v>
      </c>
      <c r="G25" s="182" t="s">
        <v>13240</v>
      </c>
      <c r="H25" s="183">
        <v>0</v>
      </c>
      <c r="I25" s="184" t="s">
        <v>1749</v>
      </c>
      <c r="J25" s="184" t="s">
        <v>4246</v>
      </c>
      <c r="K25" s="224"/>
      <c r="L25" s="224"/>
      <c r="M25" s="224"/>
      <c r="N25" s="224"/>
      <c r="O25" s="224"/>
      <c r="P25" s="185"/>
      <c r="Q25" s="225"/>
      <c r="R25" s="182" t="str">
        <f ca="1">IF(ISERROR($V25),"",OFFSET('Smelter Look-up'!$C$4,$V25-4,0)&amp;"")</f>
        <v>H.C. Starck Tungsten GmbH</v>
      </c>
      <c r="S25" s="181" t="str">
        <f t="shared" ca="1" si="3"/>
        <v>DE</v>
      </c>
      <c r="T25" s="181" t="str">
        <f ca="1">IF(B25="","",IF(ISERROR(MATCH($J25,SorP!$B$1:$B$6279,0)),"",INDIRECT("'SorP'!$A$"&amp;MATCH($S25&amp;$J25,SorP!C:C,0))))</f>
        <v>DE-NI</v>
      </c>
      <c r="U25" s="201"/>
      <c r="V25" s="226">
        <f>IF(C25="",NA(),IF(OR(C25="Smelter not listed",C25="Smelter not yet identified"),MATCH($B25&amp;$D25,'Smelter Look-up'!$J:$J,0),MATCH($B25&amp;$C25,'Smelter Look-up'!$J:$J,0)))</f>
        <v>589</v>
      </c>
      <c r="X25" s="227">
        <f t="shared" si="4"/>
        <v>0</v>
      </c>
      <c r="AB25" s="228" t="str">
        <f t="shared" si="5"/>
        <v>TungstenH.C. Starck Tungsten GmbH</v>
      </c>
    </row>
    <row r="26" spans="1:28" s="227" customFormat="1" ht="20.399999999999999">
      <c r="A26" s="181" t="s">
        <v>1425</v>
      </c>
      <c r="B26" s="182" t="s">
        <v>1128</v>
      </c>
      <c r="C26" s="186" t="s">
        <v>15126</v>
      </c>
      <c r="D26" s="230"/>
      <c r="E26" s="182" t="s">
        <v>888</v>
      </c>
      <c r="F26" s="182" t="s">
        <v>1425</v>
      </c>
      <c r="G26" s="182" t="s">
        <v>13240</v>
      </c>
      <c r="H26" s="183">
        <v>0</v>
      </c>
      <c r="I26" s="184" t="s">
        <v>1839</v>
      </c>
      <c r="J26" s="184" t="s">
        <v>12134</v>
      </c>
      <c r="K26" s="224"/>
      <c r="L26" s="224"/>
      <c r="M26" s="224"/>
      <c r="N26" s="224"/>
      <c r="O26" s="224"/>
      <c r="P26" s="185"/>
      <c r="Q26" s="225"/>
      <c r="R26" s="182" t="str">
        <f ca="1">IF(ISERROR($V26),"",OFFSET('Smelter Look-up'!$C$4,$V26-4,0)&amp;"")</f>
        <v>Masan High-Tech Materials</v>
      </c>
      <c r="S26" s="181" t="str">
        <f t="shared" ca="1" si="3"/>
        <v>VN</v>
      </c>
      <c r="T26" s="181" t="str">
        <f ca="1">IF(B26="","",IF(ISERROR(MATCH($J26,SorP!$B$1:$B$6279,0)),"",INDIRECT("'SorP'!$A$"&amp;MATCH($S26&amp;$J26,SorP!C:C,0))))</f>
        <v>VN-69</v>
      </c>
      <c r="U26" s="201"/>
      <c r="V26" s="226">
        <f>IF(C26="",NA(),IF(OR(C26="Smelter not listed",C26="Smelter not yet identified"),MATCH($B26&amp;$D26,'Smelter Look-up'!$J:$J,0),MATCH($B26&amp;$C26,'Smelter Look-up'!$J:$J,0)))</f>
        <v>616</v>
      </c>
      <c r="X26" s="227">
        <f t="shared" si="4"/>
        <v>0</v>
      </c>
      <c r="AB26" s="228" t="str">
        <f t="shared" si="5"/>
        <v>TungstenMasan High-Tech Materials</v>
      </c>
    </row>
    <row r="27" spans="1:28" s="227" customFormat="1" ht="20.399999999999999">
      <c r="A27" s="181" t="s">
        <v>1411</v>
      </c>
      <c r="B27" s="182" t="s">
        <v>1127</v>
      </c>
      <c r="C27" s="186" t="s">
        <v>15080</v>
      </c>
      <c r="D27" s="230"/>
      <c r="E27" s="182" t="s">
        <v>884</v>
      </c>
      <c r="F27" s="182" t="s">
        <v>1411</v>
      </c>
      <c r="G27" s="182" t="s">
        <v>13240</v>
      </c>
      <c r="H27" s="183">
        <v>0</v>
      </c>
      <c r="I27" s="184" t="s">
        <v>1747</v>
      </c>
      <c r="J27" s="184" t="s">
        <v>1748</v>
      </c>
      <c r="K27" s="224"/>
      <c r="L27" s="224"/>
      <c r="M27" s="224"/>
      <c r="N27" s="224"/>
      <c r="O27" s="224"/>
      <c r="P27" s="185"/>
      <c r="Q27" s="225"/>
      <c r="R27" s="182" t="str">
        <f ca="1">IF(ISERROR($V27),"",OFFSET('Smelter Look-up'!$C$4,$V27-4,0)&amp;"")</f>
        <v>TANIOBIS Co., Ltd.</v>
      </c>
      <c r="S27" s="181" t="str">
        <f t="shared" ca="1" si="3"/>
        <v>TH</v>
      </c>
      <c r="T27" s="181" t="str">
        <f ca="1">IF(B27="","",IF(ISERROR(MATCH($J27,SorP!$B$1:$B$6279,0)),"",INDIRECT("'SorP'!$A$"&amp;MATCH($S27&amp;$J27,SorP!C:C,0))))</f>
        <v>TH-21</v>
      </c>
      <c r="U27" s="201"/>
      <c r="V27" s="226">
        <f>IF(C27="",NA(),IF(OR(C27="Smelter not listed",C27="Smelter not yet identified"),MATCH($B27&amp;$D27,'Smelter Look-up'!$J:$J,0),MATCH($B27&amp;$C27,'Smelter Look-up'!$J:$J,0)))</f>
        <v>373</v>
      </c>
      <c r="X27" s="227">
        <f t="shared" si="4"/>
        <v>0</v>
      </c>
      <c r="AB27" s="228" t="str">
        <f t="shared" si="5"/>
        <v>TantalumTANIOBIS Co., Ltd.</v>
      </c>
    </row>
    <row r="28" spans="1:28" s="227" customFormat="1" ht="37.799999999999997">
      <c r="A28" s="181" t="s">
        <v>1844</v>
      </c>
      <c r="B28" s="182" t="s">
        <v>1128</v>
      </c>
      <c r="C28" s="186" t="s">
        <v>1843</v>
      </c>
      <c r="D28" s="230"/>
      <c r="E28" s="182" t="s">
        <v>879</v>
      </c>
      <c r="F28" s="182" t="s">
        <v>1844</v>
      </c>
      <c r="G28" s="182" t="s">
        <v>13240</v>
      </c>
      <c r="H28" s="183">
        <v>0</v>
      </c>
      <c r="I28" s="184" t="s">
        <v>1845</v>
      </c>
      <c r="J28" s="184" t="s">
        <v>10026</v>
      </c>
      <c r="K28" s="224"/>
      <c r="L28" s="224"/>
      <c r="M28" s="224"/>
      <c r="N28" s="224"/>
      <c r="O28" s="224"/>
      <c r="P28" s="185"/>
      <c r="Q28" s="225"/>
      <c r="R28" s="182" t="str">
        <f ca="1">IF(ISERROR($V28),"",OFFSET('Smelter Look-up'!$C$4,$V28-4,0)&amp;"")</f>
        <v>Hydrometallurg, JSC</v>
      </c>
      <c r="S28" s="181" t="str">
        <f t="shared" ca="1" si="3"/>
        <v>RU</v>
      </c>
      <c r="T28" s="181" t="str">
        <f ca="1">IF(B28="","",IF(ISERROR(MATCH($J28,SorP!$B$1:$B$6279,0)),"",INDIRECT("'SorP'!$A$"&amp;MATCH($S28&amp;$J28,SorP!C:C,0))))</f>
        <v>RU-KB</v>
      </c>
      <c r="U28" s="201"/>
      <c r="V28" s="226">
        <f>IF(C28="",NA(),IF(OR(C28="Smelter not listed",C28="Smelter not yet identified"),MATCH($B28&amp;$D28,'Smelter Look-up'!$J:$J,0),MATCH($B28&amp;$C28,'Smelter Look-up'!$J:$J,0)))</f>
        <v>599</v>
      </c>
      <c r="X28" s="227">
        <f t="shared" si="4"/>
        <v>0</v>
      </c>
      <c r="AB28" s="228" t="str">
        <f t="shared" si="5"/>
        <v>TungstenHydrometallurg, JSC</v>
      </c>
    </row>
    <row r="29" spans="1:28" s="227" customFormat="1" ht="25.2">
      <c r="A29" s="181" t="s">
        <v>797</v>
      </c>
      <c r="B29" s="182" t="s">
        <v>1128</v>
      </c>
      <c r="C29" s="186" t="s">
        <v>150</v>
      </c>
      <c r="D29" s="230"/>
      <c r="E29" s="182" t="s">
        <v>2432</v>
      </c>
      <c r="F29" s="182" t="s">
        <v>797</v>
      </c>
      <c r="G29" s="182" t="s">
        <v>13240</v>
      </c>
      <c r="H29" s="183">
        <v>0</v>
      </c>
      <c r="I29" s="184" t="s">
        <v>1828</v>
      </c>
      <c r="J29" s="184" t="s">
        <v>1756</v>
      </c>
      <c r="K29" s="224"/>
      <c r="L29" s="224"/>
      <c r="M29" s="224"/>
      <c r="N29" s="224"/>
      <c r="O29" s="224"/>
      <c r="P29" s="185"/>
      <c r="Q29" s="225"/>
      <c r="R29" s="182" t="str">
        <f ca="1">IF(ISERROR($V29),"",OFFSET('Smelter Look-up'!$C$4,$V29-4,0)&amp;"")</f>
        <v>Kennametal Fallon</v>
      </c>
      <c r="S29" s="181" t="str">
        <f t="shared" ca="1" si="3"/>
        <v>US</v>
      </c>
      <c r="T29" s="181" t="str">
        <f ca="1">IF(B29="","",IF(ISERROR(MATCH($J29,SorP!$B$1:$B$6279,0)),"",INDIRECT("'SorP'!$A$"&amp;MATCH($S29&amp;$J29,SorP!C:C,0))))</f>
        <v>US-NV</v>
      </c>
      <c r="U29" s="201"/>
      <c r="V29" s="226">
        <f>IF(C29="",NA(),IF(OR(C29="Smelter not listed",C29="Smelter not yet identified"),MATCH($B29&amp;$D29,'Smelter Look-up'!$J:$J,0),MATCH($B29&amp;$C29,'Smelter Look-up'!$J:$J,0)))</f>
        <v>611</v>
      </c>
      <c r="X29" s="227">
        <f t="shared" si="4"/>
        <v>0</v>
      </c>
      <c r="AB29" s="228" t="str">
        <f t="shared" si="5"/>
        <v>TungstenKennametal Fallon</v>
      </c>
    </row>
    <row r="30" spans="1:28" s="227" customFormat="1" ht="20.399999999999999">
      <c r="A30" s="181" t="s">
        <v>758</v>
      </c>
      <c r="B30" s="182" t="s">
        <v>1127</v>
      </c>
      <c r="C30" s="186" t="s">
        <v>13275</v>
      </c>
      <c r="D30" s="230"/>
      <c r="E30" s="182" t="s">
        <v>1096</v>
      </c>
      <c r="F30" s="182" t="s">
        <v>758</v>
      </c>
      <c r="G30" s="182" t="s">
        <v>13240</v>
      </c>
      <c r="H30" s="183">
        <v>0</v>
      </c>
      <c r="I30" s="184" t="s">
        <v>1732</v>
      </c>
      <c r="J30" s="184" t="s">
        <v>13623</v>
      </c>
      <c r="K30" s="224"/>
      <c r="L30" s="224"/>
      <c r="M30" s="224"/>
      <c r="N30" s="224"/>
      <c r="O30" s="224"/>
      <c r="P30" s="185"/>
      <c r="Q30" s="225"/>
      <c r="R30" s="182" t="str">
        <f ca="1">IF(ISERROR($V30),"",OFFSET('Smelter Look-up'!$C$4,$V30-4,0)&amp;"")</f>
        <v>Yanling Jincheng Tantalum &amp; Niobium Co., Ltd.</v>
      </c>
      <c r="S30" s="181" t="str">
        <f t="shared" ca="1" si="3"/>
        <v>CN</v>
      </c>
      <c r="T30" s="181" t="str">
        <f ca="1">IF(B30="","",IF(ISERROR(MATCH($J30,SorP!$B$1:$B$6279,0)),"",INDIRECT("'SorP'!$A$"&amp;MATCH($S30&amp;$J30,SorP!C:C,0))))</f>
        <v>CN-HN</v>
      </c>
      <c r="U30" s="201"/>
      <c r="V30" s="226">
        <f>IF(C30="",NA(),IF(OR(C30="Smelter not listed",C30="Smelter not yet identified"),MATCH($B30&amp;$D30,'Smelter Look-up'!$J:$J,0),MATCH($B30&amp;$C30,'Smelter Look-up'!$J:$J,0)))</f>
        <v>383</v>
      </c>
      <c r="X30" s="227">
        <f t="shared" si="4"/>
        <v>0</v>
      </c>
      <c r="AB30" s="228" t="str">
        <f t="shared" si="5"/>
        <v>TantalumYanling Jincheng Tantalum &amp; Niobium Co., Ltd.</v>
      </c>
    </row>
    <row r="31" spans="1:28" s="227" customFormat="1" ht="20.399999999999999">
      <c r="A31" s="181" t="s">
        <v>759</v>
      </c>
      <c r="B31" s="182" t="s">
        <v>1127</v>
      </c>
      <c r="C31" s="186" t="s">
        <v>1373</v>
      </c>
      <c r="D31" s="230"/>
      <c r="E31" s="182" t="s">
        <v>879</v>
      </c>
      <c r="F31" s="182" t="s">
        <v>759</v>
      </c>
      <c r="G31" s="182" t="s">
        <v>13240</v>
      </c>
      <c r="H31" s="183">
        <v>0</v>
      </c>
      <c r="I31" s="184" t="s">
        <v>1733</v>
      </c>
      <c r="J31" s="184" t="s">
        <v>10008</v>
      </c>
      <c r="K31" s="224"/>
      <c r="L31" s="224"/>
      <c r="M31" s="224"/>
      <c r="N31" s="224"/>
      <c r="O31" s="224"/>
      <c r="P31" s="185"/>
      <c r="Q31" s="225"/>
      <c r="R31" s="182" t="str">
        <f ca="1">IF(ISERROR($V31),"",OFFSET('Smelter Look-up'!$C$4,$V31-4,0)&amp;"")</f>
        <v>Solikamsk Magnesium Works OAO</v>
      </c>
      <c r="S31" s="181" t="str">
        <f t="shared" ca="1" si="3"/>
        <v>RU</v>
      </c>
      <c r="T31" s="181" t="str">
        <f ca="1">IF(B31="","",IF(ISERROR(MATCH($J31,SorP!$B$1:$B$6279,0)),"",INDIRECT("'SorP'!$A$"&amp;MATCH($S31&amp;$J31,SorP!C:C,0))))</f>
        <v>RU-PER</v>
      </c>
      <c r="U31" s="201"/>
      <c r="V31" s="226">
        <f>IF(C31="",NA(),IF(OR(C31="Smelter not listed",C31="Smelter not yet identified"),MATCH($B31&amp;$D31,'Smelter Look-up'!$J:$J,0),MATCH($B31&amp;$C31,'Smelter Look-up'!$J:$J,0)))</f>
        <v>369</v>
      </c>
      <c r="X31" s="227">
        <f t="shared" si="4"/>
        <v>0</v>
      </c>
      <c r="AB31" s="228" t="str">
        <f t="shared" si="5"/>
        <v>TantalumSolikamsk Magnesium Works OAO</v>
      </c>
    </row>
    <row r="32" spans="1:28" s="227" customFormat="1" ht="20.399999999999999">
      <c r="A32" s="181" t="s">
        <v>799</v>
      </c>
      <c r="B32" s="182" t="s">
        <v>1128</v>
      </c>
      <c r="C32" s="186" t="s">
        <v>1378</v>
      </c>
      <c r="D32" s="230"/>
      <c r="E32" s="182" t="s">
        <v>1096</v>
      </c>
      <c r="F32" s="182" t="s">
        <v>799</v>
      </c>
      <c r="G32" s="182" t="s">
        <v>13240</v>
      </c>
      <c r="H32" s="183">
        <v>0</v>
      </c>
      <c r="I32" s="184" t="s">
        <v>1832</v>
      </c>
      <c r="J32" s="184" t="s">
        <v>13618</v>
      </c>
      <c r="K32" s="224"/>
      <c r="L32" s="224"/>
      <c r="M32" s="224"/>
      <c r="N32" s="224"/>
      <c r="O32" s="224"/>
      <c r="P32" s="185"/>
      <c r="Q32" s="225"/>
      <c r="R32" s="182" t="str">
        <f ca="1">IF(ISERROR($V32),"",OFFSET('Smelter Look-up'!$C$4,$V32-4,0)&amp;"")</f>
        <v>Xiamen Tungsten Co., Ltd.</v>
      </c>
      <c r="S32" s="181" t="str">
        <f t="shared" ca="1" si="3"/>
        <v>CN</v>
      </c>
      <c r="T32" s="181" t="str">
        <f ca="1">IF(B32="","",IF(ISERROR(MATCH($J32,SorP!$B$1:$B$6279,0)),"",INDIRECT("'SorP'!$A$"&amp;MATCH($S32&amp;$J32,SorP!C:C,0))))</f>
        <v>CN-FJ</v>
      </c>
      <c r="U32" s="201"/>
      <c r="V32" s="226">
        <f>IF(C32="",NA(),IF(OR(C32="Smelter not listed",C32="Smelter not yet identified"),MATCH($B32&amp;$D32,'Smelter Look-up'!$J:$J,0),MATCH($B32&amp;$C32,'Smelter Look-up'!$J:$J,0)))</f>
        <v>636</v>
      </c>
      <c r="X32" s="227">
        <f t="shared" si="4"/>
        <v>0</v>
      </c>
      <c r="AB32" s="228" t="str">
        <f t="shared" si="5"/>
        <v>TungstenXiamen Tungsten Co., Ltd.</v>
      </c>
    </row>
    <row r="33" spans="1:28" s="227" customFormat="1" ht="20.399999999999999">
      <c r="A33" s="181" t="s">
        <v>793</v>
      </c>
      <c r="B33" s="182" t="s">
        <v>1128</v>
      </c>
      <c r="C33" s="186" t="s">
        <v>2213</v>
      </c>
      <c r="D33" s="230"/>
      <c r="E33" s="182" t="s">
        <v>1096</v>
      </c>
      <c r="F33" s="182" t="s">
        <v>793</v>
      </c>
      <c r="G33" s="182" t="s">
        <v>13240</v>
      </c>
      <c r="H33" s="183">
        <v>0</v>
      </c>
      <c r="I33" s="184" t="s">
        <v>2134</v>
      </c>
      <c r="J33" s="184" t="s">
        <v>13623</v>
      </c>
      <c r="K33" s="224"/>
      <c r="L33" s="224"/>
      <c r="M33" s="224"/>
      <c r="N33" s="224"/>
      <c r="O33" s="224"/>
      <c r="P33" s="185"/>
      <c r="Q33" s="225"/>
      <c r="R33" s="182" t="str">
        <f ca="1">IF(ISERROR($V33),"",OFFSET('Smelter Look-up'!$C$4,$V33-4,0)&amp;"")</f>
        <v>Hunan Chenzhou Mining Co., Ltd.</v>
      </c>
      <c r="S33" s="181" t="str">
        <f t="shared" ca="1" si="3"/>
        <v>CN</v>
      </c>
      <c r="T33" s="181" t="str">
        <f ca="1">IF(B33="","",IF(ISERROR(MATCH($J33,SorP!$B$1:$B$6279,0)),"",INDIRECT("'SorP'!$A$"&amp;MATCH($S33&amp;$J33,SorP!C:C,0))))</f>
        <v>CN-HN</v>
      </c>
      <c r="U33" s="201"/>
      <c r="V33" s="226">
        <f>IF(C33="",NA(),IF(OR(C33="Smelter not listed",C33="Smelter not yet identified"),MATCH($B33&amp;$D33,'Smelter Look-up'!$J:$J,0),MATCH($B33&amp;$C33,'Smelter Look-up'!$J:$J,0)))</f>
        <v>594</v>
      </c>
      <c r="X33" s="227">
        <f t="shared" si="4"/>
        <v>0</v>
      </c>
      <c r="AB33" s="228" t="str">
        <f t="shared" si="5"/>
        <v>TungstenHunan Chenzhou Mining Co., Ltd.</v>
      </c>
    </row>
    <row r="34" spans="1:28" s="227" customFormat="1" ht="20.399999999999999">
      <c r="A34" s="181" t="s">
        <v>745</v>
      </c>
      <c r="B34" s="182" t="s">
        <v>1127</v>
      </c>
      <c r="C34" s="186" t="s">
        <v>2</v>
      </c>
      <c r="D34" s="230"/>
      <c r="E34" s="182" t="s">
        <v>1096</v>
      </c>
      <c r="F34" s="182" t="s">
        <v>745</v>
      </c>
      <c r="G34" s="182" t="s">
        <v>13240</v>
      </c>
      <c r="H34" s="183">
        <v>0</v>
      </c>
      <c r="I34" s="184" t="s">
        <v>1590</v>
      </c>
      <c r="J34" s="184" t="s">
        <v>13623</v>
      </c>
      <c r="K34" s="224"/>
      <c r="L34" s="224"/>
      <c r="M34" s="224"/>
      <c r="N34" s="224"/>
      <c r="O34" s="224"/>
      <c r="P34" s="185"/>
      <c r="Q34" s="225"/>
      <c r="R34" s="182" t="str">
        <f ca="1">IF(ISERROR($V34),"",OFFSET('Smelter Look-up'!$C$4,$V34-4,0)&amp;"")</f>
        <v>Changsha South Tantalum Niobium Co., Ltd.</v>
      </c>
      <c r="S34" s="181" t="str">
        <f t="shared" ca="1" si="3"/>
        <v>CN</v>
      </c>
      <c r="T34" s="181" t="str">
        <f ca="1">IF(B34="","",IF(ISERROR(MATCH($J34,SorP!$B$1:$B$6279,0)),"",INDIRECT("'SorP'!$A$"&amp;MATCH($S34&amp;$J34,SorP!C:C,0))))</f>
        <v>CN-HN</v>
      </c>
      <c r="U34" s="201"/>
      <c r="V34" s="226">
        <f>IF(C34="",NA(),IF(OR(C34="Smelter not listed",C34="Smelter not yet identified"),MATCH($B34&amp;$D34,'Smelter Look-up'!$J:$J,0),MATCH($B34&amp;$C34,'Smelter Look-up'!$J:$J,0)))</f>
        <v>324</v>
      </c>
      <c r="X34" s="227">
        <f t="shared" si="4"/>
        <v>0</v>
      </c>
      <c r="AB34" s="228" t="str">
        <f t="shared" si="5"/>
        <v>TantalumChangsha South Tantalum Niobium Co., Ltd.</v>
      </c>
    </row>
    <row r="35" spans="1:28" s="227" customFormat="1" ht="25.2">
      <c r="A35" s="181" t="s">
        <v>792</v>
      </c>
      <c r="B35" s="182" t="s">
        <v>1128</v>
      </c>
      <c r="C35" s="186" t="s">
        <v>1</v>
      </c>
      <c r="D35" s="230"/>
      <c r="E35" s="182" t="s">
        <v>2432</v>
      </c>
      <c r="F35" s="182" t="s">
        <v>792</v>
      </c>
      <c r="G35" s="182" t="s">
        <v>13240</v>
      </c>
      <c r="H35" s="183">
        <v>0</v>
      </c>
      <c r="I35" s="184" t="s">
        <v>1826</v>
      </c>
      <c r="J35" s="184" t="s">
        <v>1737</v>
      </c>
      <c r="K35" s="224"/>
      <c r="L35" s="224"/>
      <c r="M35" s="224"/>
      <c r="N35" s="224"/>
      <c r="O35" s="224"/>
      <c r="P35" s="185"/>
      <c r="Q35" s="225"/>
      <c r="R35" s="182" t="str">
        <f ca="1">IF(ISERROR($V35),"",OFFSET('Smelter Look-up'!$C$4,$V35-4,0)&amp;"")</f>
        <v>Global Tungsten &amp; Powders Corp.</v>
      </c>
      <c r="S35" s="181" t="str">
        <f t="shared" ca="1" si="3"/>
        <v>US</v>
      </c>
      <c r="T35" s="181" t="str">
        <f ca="1">IF(B35="","",IF(ISERROR(MATCH($J35,SorP!$B$1:$B$6279,0)),"",INDIRECT("'SorP'!$A$"&amp;MATCH($S35&amp;$J35,SorP!C:C,0))))</f>
        <v>US-PA</v>
      </c>
      <c r="U35" s="201"/>
      <c r="V35" s="226">
        <f>IF(C35="",NA(),IF(OR(C35="Smelter not listed",C35="Smelter not yet identified"),MATCH($B35&amp;$D35,'Smelter Look-up'!$J:$J,0),MATCH($B35&amp;$C35,'Smelter Look-up'!$J:$J,0)))</f>
        <v>585</v>
      </c>
      <c r="X35" s="227">
        <f t="shared" si="4"/>
        <v>0</v>
      </c>
      <c r="AB35" s="228" t="str">
        <f t="shared" si="5"/>
        <v>TungstenGlobal Tungsten &amp; Powders Corp.</v>
      </c>
    </row>
    <row r="36" spans="1:28" s="227" customFormat="1" ht="25.2">
      <c r="A36" s="181" t="s">
        <v>761</v>
      </c>
      <c r="B36" s="182" t="s">
        <v>1127</v>
      </c>
      <c r="C36" s="186" t="s">
        <v>1735</v>
      </c>
      <c r="D36" s="230"/>
      <c r="E36" s="182" t="s">
        <v>2432</v>
      </c>
      <c r="F36" s="182" t="s">
        <v>761</v>
      </c>
      <c r="G36" s="182" t="s">
        <v>13240</v>
      </c>
      <c r="H36" s="183">
        <v>0</v>
      </c>
      <c r="I36" s="184" t="s">
        <v>1736</v>
      </c>
      <c r="J36" s="184" t="s">
        <v>1737</v>
      </c>
      <c r="K36" s="224"/>
      <c r="L36" s="224"/>
      <c r="M36" s="224"/>
      <c r="N36" s="224"/>
      <c r="O36" s="224"/>
      <c r="P36" s="185"/>
      <c r="Q36" s="225"/>
      <c r="R36" s="182" t="str">
        <f ca="1">IF(ISERROR($V36),"",OFFSET('Smelter Look-up'!$C$4,$V36-4,0)&amp;"")</f>
        <v>Telex Metals</v>
      </c>
      <c r="S36" s="181" t="str">
        <f t="shared" ca="1" si="3"/>
        <v>US</v>
      </c>
      <c r="T36" s="181" t="str">
        <f ca="1">IF(B36="","",IF(ISERROR(MATCH($J36,SorP!$B$1:$B$6279,0)),"",INDIRECT("'SorP'!$A$"&amp;MATCH($S36&amp;$J36,SorP!C:C,0))))</f>
        <v>US-PA</v>
      </c>
      <c r="U36" s="201"/>
      <c r="V36" s="226">
        <f>IF(C36="",NA(),IF(OR(C36="Smelter not listed",C36="Smelter not yet identified"),MATCH($B36&amp;$D36,'Smelter Look-up'!$J:$J,0),MATCH($B36&amp;$C36,'Smelter Look-up'!$J:$J,0)))</f>
        <v>377</v>
      </c>
      <c r="X36" s="227">
        <f t="shared" si="4"/>
        <v>0</v>
      </c>
      <c r="AB36" s="228" t="str">
        <f t="shared" si="5"/>
        <v>TantalumTelex Metals</v>
      </c>
    </row>
    <row r="37" spans="1:28" s="227" customFormat="1" ht="20.399999999999999">
      <c r="A37" s="181" t="s">
        <v>1412</v>
      </c>
      <c r="B37" s="182" t="s">
        <v>1127</v>
      </c>
      <c r="C37" s="186" t="s">
        <v>15083</v>
      </c>
      <c r="D37" s="230"/>
      <c r="E37" s="182" t="s">
        <v>1097</v>
      </c>
      <c r="F37" s="182" t="s">
        <v>1412</v>
      </c>
      <c r="G37" s="182" t="s">
        <v>13240</v>
      </c>
      <c r="H37" s="183">
        <v>0</v>
      </c>
      <c r="I37" s="184" t="s">
        <v>1749</v>
      </c>
      <c r="J37" s="184" t="s">
        <v>4246</v>
      </c>
      <c r="K37" s="224"/>
      <c r="L37" s="224"/>
      <c r="M37" s="224"/>
      <c r="N37" s="224"/>
      <c r="O37" s="224"/>
      <c r="P37" s="185"/>
      <c r="Q37" s="225"/>
      <c r="R37" s="182" t="str">
        <f ca="1">IF(ISERROR($V37),"",OFFSET('Smelter Look-up'!$C$4,$V37-4,0)&amp;"")</f>
        <v>TANIOBIS GmbH</v>
      </c>
      <c r="S37" s="181" t="str">
        <f t="shared" ca="1" si="3"/>
        <v>DE</v>
      </c>
      <c r="T37" s="181" t="str">
        <f ca="1">IF(B37="","",IF(ISERROR(MATCH($J37,SorP!$B$1:$B$6279,0)),"",INDIRECT("'SorP'!$A$"&amp;MATCH($S37&amp;$J37,SorP!C:C,0))))</f>
        <v>DE-NI</v>
      </c>
      <c r="U37" s="201"/>
      <c r="V37" s="226">
        <f>IF(C37="",NA(),IF(OR(C37="Smelter not listed",C37="Smelter not yet identified"),MATCH($B37&amp;$D37,'Smelter Look-up'!$J:$J,0),MATCH($B37&amp;$C37,'Smelter Look-up'!$J:$J,0)))</f>
        <v>374</v>
      </c>
      <c r="X37" s="227">
        <f t="shared" si="4"/>
        <v>0</v>
      </c>
      <c r="AB37" s="228" t="str">
        <f t="shared" si="5"/>
        <v>TantalumTANIOBIS GmbH</v>
      </c>
    </row>
    <row r="38" spans="1:28" s="227" customFormat="1" ht="25.2">
      <c r="A38" s="181" t="s">
        <v>1414</v>
      </c>
      <c r="B38" s="182" t="s">
        <v>1127</v>
      </c>
      <c r="C38" s="186" t="s">
        <v>1413</v>
      </c>
      <c r="D38" s="230"/>
      <c r="E38" s="182" t="s">
        <v>2432</v>
      </c>
      <c r="F38" s="182" t="s">
        <v>1414</v>
      </c>
      <c r="G38" s="182" t="s">
        <v>13240</v>
      </c>
      <c r="H38" s="183">
        <v>0</v>
      </c>
      <c r="I38" s="184" t="s">
        <v>1751</v>
      </c>
      <c r="J38" s="184" t="s">
        <v>1625</v>
      </c>
      <c r="K38" s="224"/>
      <c r="L38" s="224"/>
      <c r="M38" s="224"/>
      <c r="N38" s="224"/>
      <c r="O38" s="224"/>
      <c r="P38" s="185"/>
      <c r="Q38" s="225"/>
      <c r="R38" s="182" t="str">
        <f ca="1">IF(ISERROR($V38),"",OFFSET('Smelter Look-up'!$C$4,$V38-4,0)&amp;"")</f>
        <v>Materion Newton Inc.</v>
      </c>
      <c r="S38" s="181" t="str">
        <f t="shared" ref="S38:S68" ca="1" si="6">IF(B38="","",IF(ISERROR(MATCH($E38,CL,0)),"Unknown",INDIRECT("'C'!$A$"&amp;MATCH($E38,CL,0)+1)))</f>
        <v>US</v>
      </c>
      <c r="T38" s="181" t="str">
        <f ca="1">IF(B38="","",IF(ISERROR(MATCH($J38,SorP!$B$1:$B$6279,0)),"",INDIRECT("'SorP'!$A$"&amp;MATCH($S38&amp;$J38,SorP!C:C,0))))</f>
        <v>US-MA</v>
      </c>
      <c r="U38" s="201"/>
      <c r="V38" s="226">
        <f>IF(C38="",NA(),IF(OR(C38="Smelter not listed",C38="Smelter not yet identified"),MATCH($B38&amp;$D38,'Smelter Look-up'!$J:$J,0),MATCH($B38&amp;$C38,'Smelter Look-up'!$J:$J,0)))</f>
        <v>334</v>
      </c>
      <c r="X38" s="227">
        <f t="shared" ref="X38:X68" si="7">IF(AND(C38="Smelter not listed",OR(LEN(D38)=0,LEN(E38)=0)),1,0)</f>
        <v>0</v>
      </c>
      <c r="AB38" s="228" t="str">
        <f t="shared" ref="AB38:AB68" si="8">B38&amp;C38</f>
        <v>TantalumH.C. Starck Inc.</v>
      </c>
    </row>
    <row r="39" spans="1:28" s="227" customFormat="1" ht="20.399999999999999">
      <c r="A39" s="181" t="s">
        <v>1424</v>
      </c>
      <c r="B39" s="182" t="s">
        <v>1128</v>
      </c>
      <c r="C39" s="186" t="s">
        <v>1423</v>
      </c>
      <c r="D39" s="230"/>
      <c r="E39" s="182" t="s">
        <v>1096</v>
      </c>
      <c r="F39" s="182" t="s">
        <v>1424</v>
      </c>
      <c r="G39" s="182" t="s">
        <v>13240</v>
      </c>
      <c r="H39" s="183">
        <v>0</v>
      </c>
      <c r="I39" s="184" t="s">
        <v>1773</v>
      </c>
      <c r="J39" s="184" t="s">
        <v>13619</v>
      </c>
      <c r="K39" s="224"/>
      <c r="L39" s="224"/>
      <c r="M39" s="224"/>
      <c r="N39" s="224"/>
      <c r="O39" s="224"/>
      <c r="P39" s="185"/>
      <c r="Q39" s="225"/>
      <c r="R39" s="182" t="str">
        <f ca="1">IF(ISERROR($V39),"",OFFSET('Smelter Look-up'!$C$4,$V39-4,0)&amp;"")</f>
        <v>Jiangwu H.C. Starck Tungsten Products Co., Ltd.</v>
      </c>
      <c r="S39" s="181" t="str">
        <f t="shared" ca="1" si="6"/>
        <v>CN</v>
      </c>
      <c r="T39" s="181" t="str">
        <f ca="1">IF(B39="","",IF(ISERROR(MATCH($J39,SorP!$B$1:$B$6279,0)),"",INDIRECT("'SorP'!$A$"&amp;MATCH($S39&amp;$J39,SorP!C:C,0))))</f>
        <v>CN-JX</v>
      </c>
      <c r="U39" s="201"/>
      <c r="V39" s="226">
        <f>IF(C39="",NA(),IF(OR(C39="Smelter not listed",C39="Smelter not yet identified"),MATCH($B39&amp;$D39,'Smelter Look-up'!$J:$J,0),MATCH($B39&amp;$C39,'Smelter Look-up'!$J:$J,0)))</f>
        <v>601</v>
      </c>
      <c r="X39" s="227">
        <f t="shared" si="7"/>
        <v>0</v>
      </c>
      <c r="AB39" s="228" t="str">
        <f t="shared" si="8"/>
        <v>TungstenJiangwu H.C. Starck Tungsten Products Co., Ltd.</v>
      </c>
    </row>
    <row r="40" spans="1:28" s="227" customFormat="1" ht="20.399999999999999">
      <c r="A40" s="181" t="s">
        <v>760</v>
      </c>
      <c r="B40" s="182" t="s">
        <v>1127</v>
      </c>
      <c r="C40" s="186" t="s">
        <v>2445</v>
      </c>
      <c r="D40" s="230"/>
      <c r="E40" s="182" t="s">
        <v>1104</v>
      </c>
      <c r="F40" s="182" t="s">
        <v>760</v>
      </c>
      <c r="G40" s="182" t="s">
        <v>13240</v>
      </c>
      <c r="H40" s="183">
        <v>0</v>
      </c>
      <c r="I40" s="184" t="s">
        <v>1734</v>
      </c>
      <c r="J40" s="184" t="s">
        <v>1551</v>
      </c>
      <c r="K40" s="224"/>
      <c r="L40" s="224"/>
      <c r="M40" s="224"/>
      <c r="N40" s="224"/>
      <c r="O40" s="224"/>
      <c r="P40" s="185"/>
      <c r="Q40" s="225"/>
      <c r="R40" s="182" t="str">
        <f ca="1">IF(ISERROR($V40),"",OFFSET('Smelter Look-up'!$C$4,$V40-4,0)&amp;"")</f>
        <v>Taki Chemical Co., Ltd.</v>
      </c>
      <c r="S40" s="181" t="str">
        <f t="shared" ca="1" si="6"/>
        <v>JP</v>
      </c>
      <c r="T40" s="181" t="str">
        <f ca="1">IF(B40="","",IF(ISERROR(MATCH($J40,SorP!$B$1:$B$6279,0)),"",INDIRECT("'SorP'!$A$"&amp;MATCH($S40&amp;$J40,SorP!C:C,0))))</f>
        <v>JP-28</v>
      </c>
      <c r="U40" s="201"/>
      <c r="V40" s="226">
        <f>IF(C40="",NA(),IF(OR(C40="Smelter not listed",C40="Smelter not yet identified"),MATCH($B40&amp;$D40,'Smelter Look-up'!$J:$J,0),MATCH($B40&amp;$C40,'Smelter Look-up'!$J:$J,0)))</f>
        <v>371</v>
      </c>
      <c r="X40" s="227">
        <f t="shared" si="7"/>
        <v>0</v>
      </c>
      <c r="AB40" s="228" t="str">
        <f t="shared" si="8"/>
        <v>TantalumTaki Chemical Co., Ltd.</v>
      </c>
    </row>
    <row r="41" spans="1:28" s="227" customFormat="1" ht="20.399999999999999">
      <c r="A41" s="181" t="s">
        <v>1395</v>
      </c>
      <c r="B41" s="182" t="s">
        <v>1127</v>
      </c>
      <c r="C41" s="186" t="s">
        <v>2170</v>
      </c>
      <c r="D41" s="230"/>
      <c r="E41" s="182" t="s">
        <v>1096</v>
      </c>
      <c r="F41" s="182" t="s">
        <v>1395</v>
      </c>
      <c r="G41" s="182" t="s">
        <v>13240</v>
      </c>
      <c r="H41" s="183">
        <v>0</v>
      </c>
      <c r="I41" s="184" t="s">
        <v>1743</v>
      </c>
      <c r="J41" s="184" t="s">
        <v>13624</v>
      </c>
      <c r="K41" s="224"/>
      <c r="L41" s="224"/>
      <c r="M41" s="224"/>
      <c r="N41" s="224"/>
      <c r="O41" s="224"/>
      <c r="P41" s="185"/>
      <c r="Q41" s="225"/>
      <c r="R41" s="182" t="str">
        <f ca="1">IF(ISERROR($V41),"",OFFSET('Smelter Look-up'!$C$4,$V41-4,0)&amp;"")</f>
        <v>XinXing HaoRong Electronic Material Co., Ltd.</v>
      </c>
      <c r="S41" s="181" t="str">
        <f t="shared" ca="1" si="6"/>
        <v>CN</v>
      </c>
      <c r="T41" s="181" t="str">
        <f ca="1">IF(B41="","",IF(ISERROR(MATCH($J41,SorP!$B$1:$B$6279,0)),"",INDIRECT("'SorP'!$A$"&amp;MATCH($S41&amp;$J41,SorP!C:C,0))))</f>
        <v>CN-GD</v>
      </c>
      <c r="U41" s="201"/>
      <c r="V41" s="226">
        <f>IF(C41="",NA(),IF(OR(C41="Smelter not listed",C41="Smelter not yet identified"),MATCH($B41&amp;$D41,'Smelter Look-up'!$J:$J,0),MATCH($B41&amp;$C41,'Smelter Look-up'!$J:$J,0)))</f>
        <v>381</v>
      </c>
      <c r="X41" s="227">
        <f t="shared" si="7"/>
        <v>0</v>
      </c>
      <c r="AB41" s="228" t="str">
        <f t="shared" si="8"/>
        <v>TantalumXinXing HaoRong Electronic Material Co., Ltd.</v>
      </c>
    </row>
    <row r="42" spans="1:28" s="227" customFormat="1" ht="20.399999999999999">
      <c r="A42" s="181" t="s">
        <v>1757</v>
      </c>
      <c r="B42" s="182" t="s">
        <v>1127</v>
      </c>
      <c r="C42" s="186" t="s">
        <v>12434</v>
      </c>
      <c r="D42" s="230"/>
      <c r="E42" s="182" t="s">
        <v>1092</v>
      </c>
      <c r="F42" s="182" t="s">
        <v>1757</v>
      </c>
      <c r="G42" s="182" t="s">
        <v>13240</v>
      </c>
      <c r="H42" s="183">
        <v>0</v>
      </c>
      <c r="I42" s="184" t="s">
        <v>1721</v>
      </c>
      <c r="J42" s="184" t="s">
        <v>1758</v>
      </c>
      <c r="K42" s="224"/>
      <c r="L42" s="224"/>
      <c r="M42" s="224"/>
      <c r="N42" s="224"/>
      <c r="O42" s="224"/>
      <c r="P42" s="185"/>
      <c r="Q42" s="225"/>
      <c r="R42" s="182" t="str">
        <f ca="1">IF(ISERROR($V42),"",OFFSET('Smelter Look-up'!$C$4,$V42-4,0)&amp;"")</f>
        <v>Resind Industria e Comercio Ltda.</v>
      </c>
      <c r="S42" s="181" t="str">
        <f t="shared" ca="1" si="6"/>
        <v>BR</v>
      </c>
      <c r="T42" s="181" t="str">
        <f ca="1">IF(B42="","",IF(ISERROR(MATCH($J42,SorP!$B$1:$B$6279,0)),"",INDIRECT("'SorP'!$A$"&amp;MATCH($S42&amp;$J42,SorP!C:C,0))))</f>
        <v>BR-MG</v>
      </c>
      <c r="U42" s="201"/>
      <c r="V42" s="226">
        <f>IF(C42="",NA(),IF(OR(C42="Smelter not listed",C42="Smelter not yet identified"),MATCH($B42&amp;$D42,'Smelter Look-up'!$J:$J,0),MATCH($B42&amp;$C42,'Smelter Look-up'!$J:$J,0)))</f>
        <v>363</v>
      </c>
      <c r="X42" s="227">
        <f t="shared" si="7"/>
        <v>0</v>
      </c>
      <c r="AB42" s="228" t="str">
        <f t="shared" si="8"/>
        <v>TantalumResind Industria e Comercio Ltda.</v>
      </c>
    </row>
    <row r="43" spans="1:28" s="227" customFormat="1" ht="25.2">
      <c r="A43" s="181" t="s">
        <v>396</v>
      </c>
      <c r="B43" s="182" t="s">
        <v>1127</v>
      </c>
      <c r="C43" s="186" t="s">
        <v>3</v>
      </c>
      <c r="D43" s="230"/>
      <c r="E43" s="182" t="s">
        <v>1096</v>
      </c>
      <c r="F43" s="182" t="s">
        <v>396</v>
      </c>
      <c r="G43" s="182" t="s">
        <v>13240</v>
      </c>
      <c r="H43" s="183">
        <v>0</v>
      </c>
      <c r="I43" s="184" t="s">
        <v>1740</v>
      </c>
      <c r="J43" s="184" t="s">
        <v>13623</v>
      </c>
      <c r="K43" s="224"/>
      <c r="L43" s="224"/>
      <c r="M43" s="224"/>
      <c r="N43" s="224"/>
      <c r="O43" s="224"/>
      <c r="P43" s="185"/>
      <c r="Q43" s="225"/>
      <c r="R43" s="182" t="str">
        <f ca="1">IF(ISERROR($V43),"",OFFSET('Smelter Look-up'!$C$4,$V43-4,0)&amp;"")</f>
        <v>Hengyang King Xing Lifeng New Materials Co., Ltd.</v>
      </c>
      <c r="S43" s="181" t="str">
        <f t="shared" ca="1" si="6"/>
        <v>CN</v>
      </c>
      <c r="T43" s="181" t="str">
        <f ca="1">IF(B43="","",IF(ISERROR(MATCH($J43,SorP!$B$1:$B$6279,0)),"",INDIRECT("'SorP'!$A$"&amp;MATCH($S43&amp;$J43,SorP!C:C,0))))</f>
        <v>CN-HN</v>
      </c>
      <c r="U43" s="201"/>
      <c r="V43" s="226">
        <f>IF(C43="",NA(),IF(OR(C43="Smelter not listed",C43="Smelter not yet identified"),MATCH($B43&amp;$D43,'Smelter Look-up'!$J:$J,0),MATCH($B43&amp;$C43,'Smelter Look-up'!$J:$J,0)))</f>
        <v>338</v>
      </c>
      <c r="X43" s="227">
        <f t="shared" si="7"/>
        <v>0</v>
      </c>
      <c r="AB43" s="228" t="str">
        <f t="shared" si="8"/>
        <v>TantalumHengyang King Xing Lifeng New Materials Co., Ltd.</v>
      </c>
    </row>
    <row r="44" spans="1:28" s="227" customFormat="1" ht="20.399999999999999">
      <c r="A44" s="181" t="s">
        <v>748</v>
      </c>
      <c r="B44" s="182" t="s">
        <v>1127</v>
      </c>
      <c r="C44" s="186" t="s">
        <v>15079</v>
      </c>
      <c r="D44" s="230"/>
      <c r="E44" s="182" t="s">
        <v>1096</v>
      </c>
      <c r="F44" s="182" t="s">
        <v>748</v>
      </c>
      <c r="G44" s="182" t="s">
        <v>13240</v>
      </c>
      <c r="H44" s="183">
        <v>0</v>
      </c>
      <c r="I44" s="184" t="s">
        <v>1719</v>
      </c>
      <c r="J44" s="184" t="s">
        <v>13624</v>
      </c>
      <c r="K44" s="224"/>
      <c r="L44" s="224"/>
      <c r="M44" s="224"/>
      <c r="N44" s="224"/>
      <c r="O44" s="224"/>
      <c r="P44" s="185"/>
      <c r="Q44" s="225"/>
      <c r="R44" s="182" t="str">
        <f ca="1">IF(ISERROR($V44),"",OFFSET('Smelter Look-up'!$C$4,$V44-4,0)&amp;"")</f>
        <v>XIMEI RESOURCES (GUANGDONG) LIMITED</v>
      </c>
      <c r="S44" s="181" t="str">
        <f t="shared" ca="1" si="6"/>
        <v>CN</v>
      </c>
      <c r="T44" s="181" t="str">
        <f ca="1">IF(B44="","",IF(ISERROR(MATCH($J44,SorP!$B$1:$B$6279,0)),"",INDIRECT("'SorP'!$A$"&amp;MATCH($S44&amp;$J44,SorP!C:C,0))))</f>
        <v>CN-GD</v>
      </c>
      <c r="U44" s="201"/>
      <c r="V44" s="226">
        <f>IF(C44="",NA(),IF(OR(C44="Smelter not listed",C44="Smelter not yet identified"),MATCH($B44&amp;$D44,'Smelter Look-up'!$J:$J,0),MATCH($B44&amp;$C44,'Smelter Look-up'!$J:$J,0)))</f>
        <v>380</v>
      </c>
      <c r="X44" s="227">
        <f t="shared" si="7"/>
        <v>0</v>
      </c>
      <c r="AB44" s="228" t="str">
        <f t="shared" si="8"/>
        <v>TantalumXIMEI RESOURCES (GUANGDONG) LIMITED</v>
      </c>
    </row>
    <row r="45" spans="1:28" s="227" customFormat="1" ht="20.399999999999999">
      <c r="A45" s="181" t="s">
        <v>791</v>
      </c>
      <c r="B45" s="182" t="s">
        <v>1128</v>
      </c>
      <c r="C45" s="186" t="s">
        <v>1374</v>
      </c>
      <c r="D45" s="230"/>
      <c r="E45" s="182" t="s">
        <v>1096</v>
      </c>
      <c r="F45" s="182" t="s">
        <v>791</v>
      </c>
      <c r="G45" s="182" t="s">
        <v>13240</v>
      </c>
      <c r="H45" s="183">
        <v>0</v>
      </c>
      <c r="I45" s="184" t="s">
        <v>1773</v>
      </c>
      <c r="J45" s="184" t="s">
        <v>13619</v>
      </c>
      <c r="K45" s="224"/>
      <c r="L45" s="224"/>
      <c r="M45" s="224"/>
      <c r="N45" s="224"/>
      <c r="O45" s="224"/>
      <c r="P45" s="185"/>
      <c r="Q45" s="225"/>
      <c r="R45" s="182" t="str">
        <f ca="1">IF(ISERROR($V45),"",OFFSET('Smelter Look-up'!$C$4,$V45-4,0)&amp;"")</f>
        <v>Chongyi Zhangyuan Tungsten Co., Ltd.</v>
      </c>
      <c r="S45" s="181" t="str">
        <f t="shared" ca="1" si="6"/>
        <v>CN</v>
      </c>
      <c r="T45" s="181" t="str">
        <f ca="1">IF(B45="","",IF(ISERROR(MATCH($J45,SorP!$B$1:$B$6279,0)),"",INDIRECT("'SorP'!$A$"&amp;MATCH($S45&amp;$J45,SorP!C:C,0))))</f>
        <v>CN-JX</v>
      </c>
      <c r="U45" s="201"/>
      <c r="V45" s="226">
        <f>IF(C45="",NA(),IF(OR(C45="Smelter not listed",C45="Smelter not yet identified"),MATCH($B45&amp;$D45,'Smelter Look-up'!$J:$J,0),MATCH($B45&amp;$C45,'Smelter Look-up'!$J:$J,0)))</f>
        <v>573</v>
      </c>
      <c r="X45" s="227">
        <f t="shared" si="7"/>
        <v>0</v>
      </c>
      <c r="AB45" s="228" t="str">
        <f t="shared" si="8"/>
        <v>TungstenChongyi Zhangyuan Tungsten Co., Ltd.</v>
      </c>
    </row>
    <row r="46" spans="1:28" s="227" customFormat="1" ht="20.399999999999999">
      <c r="A46" s="181" t="s">
        <v>796</v>
      </c>
      <c r="B46" s="182" t="s">
        <v>1128</v>
      </c>
      <c r="C46" s="186" t="s">
        <v>149</v>
      </c>
      <c r="D46" s="230"/>
      <c r="E46" s="182" t="s">
        <v>1096</v>
      </c>
      <c r="F46" s="182" t="s">
        <v>796</v>
      </c>
      <c r="G46" s="182" t="s">
        <v>13240</v>
      </c>
      <c r="H46" s="183">
        <v>0</v>
      </c>
      <c r="I46" s="184" t="s">
        <v>1773</v>
      </c>
      <c r="J46" s="184" t="s">
        <v>13619</v>
      </c>
      <c r="K46" s="224"/>
      <c r="L46" s="224"/>
      <c r="M46" s="224"/>
      <c r="N46" s="224"/>
      <c r="O46" s="224"/>
      <c r="P46" s="185"/>
      <c r="Q46" s="225"/>
      <c r="R46" s="182" t="str">
        <f ca="1">IF(ISERROR($V46),"",OFFSET('Smelter Look-up'!$C$4,$V46-4,0)&amp;"")</f>
        <v>Ganzhou Huaxing Tungsten Products Co., Ltd.</v>
      </c>
      <c r="S46" s="181" t="str">
        <f t="shared" ca="1" si="6"/>
        <v>CN</v>
      </c>
      <c r="T46" s="181" t="str">
        <f ca="1">IF(B46="","",IF(ISERROR(MATCH($J46,SorP!$B$1:$B$6279,0)),"",INDIRECT("'SorP'!$A$"&amp;MATCH($S46&amp;$J46,SorP!C:C,0))))</f>
        <v>CN-JX</v>
      </c>
      <c r="U46" s="201"/>
      <c r="V46" s="226">
        <f>IF(C46="",NA(),IF(OR(C46="Smelter not listed",C46="Smelter not yet identified"),MATCH($B46&amp;$D46,'Smelter Look-up'!$J:$J,0),MATCH($B46&amp;$C46,'Smelter Look-up'!$J:$J,0)))</f>
        <v>581</v>
      </c>
      <c r="X46" s="227">
        <f t="shared" si="7"/>
        <v>0</v>
      </c>
      <c r="AB46" s="228" t="str">
        <f t="shared" si="8"/>
        <v>TungstenGanzhou Huaxing Tungsten Products Co., Ltd.</v>
      </c>
    </row>
    <row r="47" spans="1:28" s="227" customFormat="1" ht="20.399999999999999">
      <c r="A47" s="181" t="s">
        <v>752</v>
      </c>
      <c r="B47" s="182" t="s">
        <v>1127</v>
      </c>
      <c r="C47" s="186" t="s">
        <v>2152</v>
      </c>
      <c r="D47" s="230"/>
      <c r="E47" s="182" t="s">
        <v>1102</v>
      </c>
      <c r="F47" s="182" t="s">
        <v>752</v>
      </c>
      <c r="G47" s="182" t="s">
        <v>13240</v>
      </c>
      <c r="H47" s="183">
        <v>0</v>
      </c>
      <c r="I47" s="184" t="s">
        <v>1722</v>
      </c>
      <c r="J47" s="184" t="s">
        <v>15809</v>
      </c>
      <c r="K47" s="224"/>
      <c r="L47" s="224"/>
      <c r="M47" s="224"/>
      <c r="N47" s="224"/>
      <c r="O47" s="224"/>
      <c r="P47" s="185"/>
      <c r="Q47" s="225"/>
      <c r="R47" s="182" t="str">
        <f ca="1">IF(ISERROR($V47),"",OFFSET('Smelter Look-up'!$C$4,$V47-4,0)&amp;"")</f>
        <v>Metallurgical Products India Pvt., Ltd.</v>
      </c>
      <c r="S47" s="181" t="str">
        <f t="shared" ca="1" si="6"/>
        <v>IN</v>
      </c>
      <c r="T47" s="181" t="str">
        <f ca="1">IF(B47="","",IF(ISERROR(MATCH($J47,SorP!$B$1:$B$6279,0)),"",INDIRECT("'SorP'!$A$"&amp;MATCH($S47&amp;$J47,SorP!C:C,0))))</f>
        <v/>
      </c>
      <c r="U47" s="201"/>
      <c r="V47" s="226">
        <f>IF(C47="",NA(),IF(OR(C47="Smelter not listed",C47="Smelter not yet identified"),MATCH($B47&amp;$D47,'Smelter Look-up'!$J:$J,0),MATCH($B47&amp;$C47,'Smelter Look-up'!$J:$J,0)))</f>
        <v>350</v>
      </c>
      <c r="X47" s="227">
        <f t="shared" si="7"/>
        <v>0</v>
      </c>
      <c r="AB47" s="228" t="str">
        <f t="shared" si="8"/>
        <v>TantalumMetallurgical Products India Pvt., Ltd.</v>
      </c>
    </row>
    <row r="48" spans="1:28" s="227" customFormat="1" ht="20.399999999999999">
      <c r="A48" s="181" t="s">
        <v>15806</v>
      </c>
      <c r="B48" s="182" t="s">
        <v>1127</v>
      </c>
      <c r="C48" s="186" t="s">
        <v>15807</v>
      </c>
      <c r="D48" s="230"/>
      <c r="E48" s="182" t="s">
        <v>1097</v>
      </c>
      <c r="F48" s="182" t="s">
        <v>15806</v>
      </c>
      <c r="G48" s="182" t="s">
        <v>13240</v>
      </c>
      <c r="H48" s="183">
        <v>0</v>
      </c>
      <c r="I48" s="184" t="s">
        <v>15808</v>
      </c>
      <c r="J48" s="184" t="s">
        <v>4224</v>
      </c>
      <c r="K48" s="224"/>
      <c r="L48" s="224"/>
      <c r="M48" s="224"/>
      <c r="N48" s="224"/>
      <c r="O48" s="224"/>
      <c r="P48" s="185"/>
      <c r="Q48" s="225"/>
      <c r="R48" s="182" t="str">
        <f ca="1">IF(ISERROR($V48),"",OFFSET('Smelter Look-up'!$C$4,$V48-4,0)&amp;"")</f>
        <v/>
      </c>
      <c r="S48" s="181" t="str">
        <f t="shared" ca="1" si="6"/>
        <v>DE</v>
      </c>
      <c r="T48" s="181" t="str">
        <f ca="1">IF(B48="","",IF(ISERROR(MATCH($J48,SorP!$B$1:$B$6279,0)),"",INDIRECT("'SorP'!$A$"&amp;MATCH($S48&amp;$J48,SorP!C:C,0))))</f>
        <v>DE-TH</v>
      </c>
      <c r="U48" s="201"/>
      <c r="V48" s="226" t="e">
        <f>IF(C48="",NA(),IF(OR(C48="Smelter not listed",C48="Smelter not yet identified"),MATCH($B48&amp;$D48,'Smelter Look-up'!$J:$J,0),MATCH($B48&amp;$C48,'Smelter Look-up'!$J:$J,0)))</f>
        <v>#N/A</v>
      </c>
      <c r="X48" s="227">
        <f t="shared" si="7"/>
        <v>0</v>
      </c>
      <c r="AB48" s="228" t="str">
        <f t="shared" si="8"/>
        <v>TantalumH.C. Starck Hermsdorf GmbH</v>
      </c>
    </row>
    <row r="49" spans="1:28" s="227" customFormat="1" ht="20.399999999999999">
      <c r="A49" s="181" t="s">
        <v>2535</v>
      </c>
      <c r="B49" s="182" t="s">
        <v>1128</v>
      </c>
      <c r="C49" s="186" t="s">
        <v>12937</v>
      </c>
      <c r="D49" s="230"/>
      <c r="E49" s="182" t="s">
        <v>1096</v>
      </c>
      <c r="F49" s="182" t="s">
        <v>2535</v>
      </c>
      <c r="G49" s="182" t="s">
        <v>13240</v>
      </c>
      <c r="H49" s="183">
        <v>0</v>
      </c>
      <c r="I49" s="184" t="s">
        <v>1773</v>
      </c>
      <c r="J49" s="184" t="s">
        <v>13619</v>
      </c>
      <c r="K49" s="224"/>
      <c r="L49" s="224"/>
      <c r="M49" s="224"/>
      <c r="N49" s="224"/>
      <c r="O49" s="224"/>
      <c r="P49" s="185"/>
      <c r="Q49" s="225"/>
      <c r="R49" s="182" t="str">
        <f ca="1">IF(ISERROR($V49),"",OFFSET('Smelter Look-up'!$C$4,$V49-4,0)&amp;"")</f>
        <v>Ganzhou Haichuang Tungsten Co., Ltd.</v>
      </c>
      <c r="S49" s="181" t="str">
        <f t="shared" ca="1" si="6"/>
        <v>CN</v>
      </c>
      <c r="T49" s="181" t="str">
        <f ca="1">IF(B49="","",IF(ISERROR(MATCH($J49,SorP!$B$1:$B$6279,0)),"",INDIRECT("'SorP'!$A$"&amp;MATCH($S49&amp;$J49,SorP!C:C,0))))</f>
        <v>CN-JX</v>
      </c>
      <c r="U49" s="201"/>
      <c r="V49" s="226">
        <f>IF(C49="",NA(),IF(OR(C49="Smelter not listed",C49="Smelter not yet identified"),MATCH($B49&amp;$D49,'Smelter Look-up'!$J:$J,0),MATCH($B49&amp;$C49,'Smelter Look-up'!$J:$J,0)))</f>
        <v>580</v>
      </c>
      <c r="X49" s="227">
        <f t="shared" si="7"/>
        <v>0</v>
      </c>
      <c r="AB49" s="228" t="str">
        <f t="shared" si="8"/>
        <v>TungstenGanzhou Haichuang Tungsten Co., Ltd.</v>
      </c>
    </row>
    <row r="50" spans="1:28" s="227" customFormat="1" ht="25.2">
      <c r="A50" s="181" t="s">
        <v>15810</v>
      </c>
      <c r="B50" s="182" t="s">
        <v>1128</v>
      </c>
      <c r="C50" s="186" t="s">
        <v>15811</v>
      </c>
      <c r="D50" s="230"/>
      <c r="E50" s="182" t="s">
        <v>1096</v>
      </c>
      <c r="F50" s="182" t="s">
        <v>15810</v>
      </c>
      <c r="G50" s="182" t="s">
        <v>13240</v>
      </c>
      <c r="H50" s="183">
        <v>0</v>
      </c>
      <c r="I50" s="184" t="s">
        <v>1773</v>
      </c>
      <c r="J50" s="184" t="s">
        <v>13619</v>
      </c>
      <c r="K50" s="224"/>
      <c r="L50" s="224"/>
      <c r="M50" s="224"/>
      <c r="N50" s="224"/>
      <c r="O50" s="224"/>
      <c r="P50" s="185"/>
      <c r="Q50" s="225"/>
      <c r="R50" s="182" t="str">
        <f ca="1">IF(ISERROR($V50),"",OFFSET('Smelter Look-up'!$C$4,$V50-4,0)&amp;"")</f>
        <v/>
      </c>
      <c r="S50" s="181" t="str">
        <f t="shared" ca="1" si="6"/>
        <v>CN</v>
      </c>
      <c r="T50" s="181" t="str">
        <f ca="1">IF(B50="","",IF(ISERROR(MATCH($J50,SorP!$B$1:$B$6279,0)),"",INDIRECT("'SorP'!$A$"&amp;MATCH($S50&amp;$J50,SorP!C:C,0))))</f>
        <v>CN-JX</v>
      </c>
      <c r="U50" s="201"/>
      <c r="V50" s="226" t="e">
        <f>IF(C50="",NA(),IF(OR(C50="Smelter not listed",C50="Smelter not yet identified"),MATCH($B50&amp;$D50,'Smelter Look-up'!$J:$J,0),MATCH($B50&amp;$C50,'Smelter Look-up'!$J:$J,0)))</f>
        <v>#N/A</v>
      </c>
      <c r="X50" s="227">
        <f t="shared" si="7"/>
        <v>0</v>
      </c>
      <c r="AB50" s="228" t="str">
        <f t="shared" si="8"/>
        <v>TungstenXinfeng Huarui Tungsten &amp; Molybdenum New Material Co., Ltd.</v>
      </c>
    </row>
    <row r="51" spans="1:28" s="227" customFormat="1" ht="20.399999999999999">
      <c r="A51" s="181" t="s">
        <v>754</v>
      </c>
      <c r="B51" s="182" t="s">
        <v>1127</v>
      </c>
      <c r="C51" s="186" t="s">
        <v>1225</v>
      </c>
      <c r="D51" s="230"/>
      <c r="E51" s="182" t="s">
        <v>1104</v>
      </c>
      <c r="F51" s="182" t="s">
        <v>754</v>
      </c>
      <c r="G51" s="182" t="s">
        <v>13240</v>
      </c>
      <c r="H51" s="183">
        <v>0</v>
      </c>
      <c r="I51" s="184" t="s">
        <v>1726</v>
      </c>
      <c r="J51" s="184" t="s">
        <v>1727</v>
      </c>
      <c r="K51" s="224"/>
      <c r="L51" s="224"/>
      <c r="M51" s="224"/>
      <c r="N51" s="224"/>
      <c r="O51" s="224"/>
      <c r="P51" s="185"/>
      <c r="Q51" s="225"/>
      <c r="R51" s="182" t="str">
        <f ca="1">IF(ISERROR($V51),"",OFFSET('Smelter Look-up'!$C$4,$V51-4,0)&amp;"")</f>
        <v>Mitsui Mining and Smelting Co., Ltd.</v>
      </c>
      <c r="S51" s="181" t="str">
        <f t="shared" ca="1" si="6"/>
        <v>JP</v>
      </c>
      <c r="T51" s="181" t="str">
        <f ca="1">IF(B51="","",IF(ISERROR(MATCH($J51,SorP!$B$1:$B$6279,0)),"",INDIRECT("'SorP'!$A$"&amp;MATCH($S51&amp;$J51,SorP!C:C,0))))</f>
        <v>JP-40</v>
      </c>
      <c r="U51" s="201"/>
      <c r="V51" s="226">
        <f>IF(C51="",NA(),IF(OR(C51="Smelter not listed",C51="Smelter not yet identified"),MATCH($B51&amp;$D51,'Smelter Look-up'!$J:$J,0),MATCH($B51&amp;$C51,'Smelter Look-up'!$J:$J,0)))</f>
        <v>355</v>
      </c>
      <c r="X51" s="227">
        <f t="shared" si="7"/>
        <v>0</v>
      </c>
      <c r="AB51" s="228" t="str">
        <f t="shared" si="8"/>
        <v>TantalumMitsui Mining and Smelting Co., Ltd.</v>
      </c>
    </row>
    <row r="52" spans="1:28" s="227" customFormat="1" ht="25.2">
      <c r="A52" s="181" t="s">
        <v>15812</v>
      </c>
      <c r="B52" s="182" t="s">
        <v>1127</v>
      </c>
      <c r="C52" s="186" t="s">
        <v>15813</v>
      </c>
      <c r="D52" s="230"/>
      <c r="E52" s="182" t="s">
        <v>2432</v>
      </c>
      <c r="F52" s="182" t="s">
        <v>15812</v>
      </c>
      <c r="G52" s="182" t="s">
        <v>13240</v>
      </c>
      <c r="H52" s="183">
        <v>0</v>
      </c>
      <c r="I52" s="184" t="s">
        <v>15814</v>
      </c>
      <c r="J52" s="184" t="s">
        <v>1696</v>
      </c>
      <c r="K52" s="224"/>
      <c r="L52" s="224"/>
      <c r="M52" s="224"/>
      <c r="N52" s="224"/>
      <c r="O52" s="224"/>
      <c r="P52" s="185"/>
      <c r="Q52" s="225"/>
      <c r="R52" s="182" t="str">
        <f ca="1">IF(ISERROR($V52),"",OFFSET('Smelter Look-up'!$C$4,$V52-4,0)&amp;"")</f>
        <v/>
      </c>
      <c r="S52" s="181" t="str">
        <f t="shared" ca="1" si="6"/>
        <v>US</v>
      </c>
      <c r="T52" s="181" t="str">
        <f ca="1">IF(B52="","",IF(ISERROR(MATCH($J52,SorP!$B$1:$B$6279,0)),"",INDIRECT("'SorP'!$A$"&amp;MATCH($S52&amp;$J52,SorP!C:C,0))))</f>
        <v>US-FL</v>
      </c>
      <c r="U52" s="201"/>
      <c r="V52" s="226" t="e">
        <f>IF(C52="",NA(),IF(OR(C52="Smelter not listed",C52="Smelter not yet identified"),MATCH($B52&amp;$D52,'Smelter Look-up'!$J:$J,0),MATCH($B52&amp;$C52,'Smelter Look-up'!$J:$J,0)))</f>
        <v>#N/A</v>
      </c>
      <c r="X52" s="227">
        <f t="shared" si="7"/>
        <v>0</v>
      </c>
      <c r="AB52" s="228" t="str">
        <f t="shared" si="8"/>
        <v>TantalumExotech Inc.</v>
      </c>
    </row>
    <row r="53" spans="1:28" s="227" customFormat="1" ht="20.399999999999999">
      <c r="A53" s="181" t="s">
        <v>746</v>
      </c>
      <c r="B53" s="182" t="s">
        <v>1127</v>
      </c>
      <c r="C53" s="186" t="s">
        <v>45</v>
      </c>
      <c r="D53" s="230"/>
      <c r="E53" s="182" t="s">
        <v>1096</v>
      </c>
      <c r="F53" s="182" t="s">
        <v>746</v>
      </c>
      <c r="G53" s="182" t="s">
        <v>13240</v>
      </c>
      <c r="H53" s="183">
        <v>0</v>
      </c>
      <c r="I53" s="184" t="s">
        <v>1717</v>
      </c>
      <c r="J53" s="184" t="s">
        <v>13624</v>
      </c>
      <c r="K53" s="224"/>
      <c r="L53" s="224"/>
      <c r="M53" s="224"/>
      <c r="N53" s="224"/>
      <c r="O53" s="224"/>
      <c r="P53" s="185"/>
      <c r="Q53" s="225"/>
      <c r="R53" s="182" t="str">
        <f ca="1">IF(ISERROR($V53),"",OFFSET('Smelter Look-up'!$C$4,$V53-4,0)&amp;"")</f>
        <v>F&amp;X Electro-Materials Ltd.</v>
      </c>
      <c r="S53" s="181" t="str">
        <f t="shared" ca="1" si="6"/>
        <v>CN</v>
      </c>
      <c r="T53" s="181" t="str">
        <f ca="1">IF(B53="","",IF(ISERROR(MATCH($J53,SorP!$B$1:$B$6279,0)),"",INDIRECT("'SorP'!$A$"&amp;MATCH($S53&amp;$J53,SorP!C:C,0))))</f>
        <v>CN-GD</v>
      </c>
      <c r="U53" s="201"/>
      <c r="V53" s="226">
        <f>IF(C53="",NA(),IF(OR(C53="Smelter not listed",C53="Smelter not yet identified"),MATCH($B53&amp;$D53,'Smelter Look-up'!$J:$J,0),MATCH($B53&amp;$C53,'Smelter Look-up'!$J:$J,0)))</f>
        <v>328</v>
      </c>
      <c r="X53" s="227">
        <f t="shared" si="7"/>
        <v>0</v>
      </c>
      <c r="AB53" s="228" t="str">
        <f t="shared" si="8"/>
        <v>TantalumF&amp;X Electro-Materials Ltd.</v>
      </c>
    </row>
    <row r="54" spans="1:28" s="227" customFormat="1" ht="20.399999999999999">
      <c r="A54" s="181" t="s">
        <v>798</v>
      </c>
      <c r="B54" s="182" t="s">
        <v>1128</v>
      </c>
      <c r="C54" s="186" t="s">
        <v>2539</v>
      </c>
      <c r="D54" s="230"/>
      <c r="E54" s="182" t="s">
        <v>1090</v>
      </c>
      <c r="F54" s="182" t="s">
        <v>798</v>
      </c>
      <c r="G54" s="182" t="s">
        <v>13240</v>
      </c>
      <c r="H54" s="183">
        <v>0</v>
      </c>
      <c r="I54" s="184" t="s">
        <v>1829</v>
      </c>
      <c r="J54" s="184" t="s">
        <v>2810</v>
      </c>
      <c r="K54" s="224"/>
      <c r="L54" s="224"/>
      <c r="M54" s="224"/>
      <c r="N54" s="224"/>
      <c r="O54" s="224"/>
      <c r="P54" s="185"/>
      <c r="Q54" s="225"/>
      <c r="R54" s="182" t="str">
        <f ca="1">IF(ISERROR($V54),"",OFFSET('Smelter Look-up'!$C$4,$V54-4,0)&amp;"")</f>
        <v>Wolfram Bergbau und Hutten AG</v>
      </c>
      <c r="S54" s="181" t="str">
        <f t="shared" ca="1" si="6"/>
        <v>AT</v>
      </c>
      <c r="T54" s="181" t="str">
        <f ca="1">IF(B54="","",IF(ISERROR(MATCH($J54,SorP!$B$1:$B$6279,0)),"",INDIRECT("'SorP'!$A$"&amp;MATCH($S54&amp;$J54,SorP!C:C,0))))</f>
        <v>AT-6</v>
      </c>
      <c r="U54" s="201"/>
      <c r="V54" s="226">
        <f>IF(C54="",NA(),IF(OR(C54="Smelter not listed",C54="Smelter not yet identified"),MATCH($B54&amp;$D54,'Smelter Look-up'!$J:$J,0),MATCH($B54&amp;$C54,'Smelter Look-up'!$J:$J,0)))</f>
        <v>632</v>
      </c>
      <c r="X54" s="227">
        <f t="shared" si="7"/>
        <v>0</v>
      </c>
      <c r="AB54" s="228" t="str">
        <f t="shared" si="8"/>
        <v>TungstenWolfram Bergbau und Hutten AG</v>
      </c>
    </row>
    <row r="55" spans="1:28" s="227" customFormat="1" ht="20.399999999999999">
      <c r="A55" s="181" t="s">
        <v>141</v>
      </c>
      <c r="B55" s="182" t="s">
        <v>1128</v>
      </c>
      <c r="C55" s="186" t="s">
        <v>152</v>
      </c>
      <c r="D55" s="230"/>
      <c r="E55" s="182" t="s">
        <v>1096</v>
      </c>
      <c r="F55" s="182" t="s">
        <v>141</v>
      </c>
      <c r="G55" s="182" t="s">
        <v>13240</v>
      </c>
      <c r="H55" s="183">
        <v>0</v>
      </c>
      <c r="I55" s="184" t="s">
        <v>1773</v>
      </c>
      <c r="J55" s="184" t="s">
        <v>13619</v>
      </c>
      <c r="K55" s="224"/>
      <c r="L55" s="224"/>
      <c r="M55" s="224"/>
      <c r="N55" s="224"/>
      <c r="O55" s="224"/>
      <c r="P55" s="185"/>
      <c r="Q55" s="225"/>
      <c r="R55" s="182" t="str">
        <f ca="1">IF(ISERROR($V55),"",OFFSET('Smelter Look-up'!$C$4,$V55-4,0)&amp;"")</f>
        <v>Jiangxi Yaosheng Tungsten Co., Ltd.</v>
      </c>
      <c r="S55" s="181" t="str">
        <f t="shared" ca="1" si="6"/>
        <v>CN</v>
      </c>
      <c r="T55" s="181" t="str">
        <f ca="1">IF(B55="","",IF(ISERROR(MATCH($J55,SorP!$B$1:$B$6279,0)),"",INDIRECT("'SorP'!$A$"&amp;MATCH($S55&amp;$J55,SorP!C:C,0))))</f>
        <v>CN-JX</v>
      </c>
      <c r="U55" s="201"/>
      <c r="V55" s="226">
        <f>IF(C55="",NA(),IF(OR(C55="Smelter not listed",C55="Smelter not yet identified"),MATCH($B55&amp;$D55,'Smelter Look-up'!$J:$J,0),MATCH($B55&amp;$C55,'Smelter Look-up'!$J:$J,0)))</f>
        <v>608</v>
      </c>
      <c r="X55" s="227">
        <f t="shared" si="7"/>
        <v>0</v>
      </c>
      <c r="AB55" s="228" t="str">
        <f t="shared" si="8"/>
        <v>TungstenJiangxi Yaosheng Tungsten Co., Ltd.</v>
      </c>
    </row>
    <row r="56" spans="1:28" s="227" customFormat="1" ht="20.399999999999999">
      <c r="A56" s="181" t="s">
        <v>393</v>
      </c>
      <c r="B56" s="182" t="s">
        <v>1128</v>
      </c>
      <c r="C56" s="186" t="s">
        <v>392</v>
      </c>
      <c r="D56" s="230"/>
      <c r="E56" s="182" t="s">
        <v>1096</v>
      </c>
      <c r="F56" s="182" t="s">
        <v>393</v>
      </c>
      <c r="G56" s="182" t="s">
        <v>13240</v>
      </c>
      <c r="H56" s="183">
        <v>0</v>
      </c>
      <c r="I56" s="184" t="s">
        <v>1773</v>
      </c>
      <c r="J56" s="184" t="s">
        <v>13619</v>
      </c>
      <c r="K56" s="224"/>
      <c r="L56" s="224"/>
      <c r="M56" s="224"/>
      <c r="N56" s="224"/>
      <c r="O56" s="224"/>
      <c r="P56" s="185"/>
      <c r="Q56" s="225"/>
      <c r="R56" s="182" t="str">
        <f ca="1">IF(ISERROR($V56),"",OFFSET('Smelter Look-up'!$C$4,$V56-4,0)&amp;"")</f>
        <v>Ganzhou Seadragon W &amp; Mo Co., Ltd.</v>
      </c>
      <c r="S56" s="181" t="str">
        <f t="shared" ca="1" si="6"/>
        <v>CN</v>
      </c>
      <c r="T56" s="181" t="str">
        <f ca="1">IF(B56="","",IF(ISERROR(MATCH($J56,SorP!$B$1:$B$6279,0)),"",INDIRECT("'SorP'!$A$"&amp;MATCH($S56&amp;$J56,SorP!C:C,0))))</f>
        <v>CN-JX</v>
      </c>
      <c r="U56" s="201"/>
      <c r="V56" s="226">
        <f>IF(C56="",NA(),IF(OR(C56="Smelter not listed",C56="Smelter not yet identified"),MATCH($B56&amp;$D56,'Smelter Look-up'!$J:$J,0),MATCH($B56&amp;$C56,'Smelter Look-up'!$J:$J,0)))</f>
        <v>583</v>
      </c>
      <c r="X56" s="227">
        <f t="shared" si="7"/>
        <v>0</v>
      </c>
      <c r="AB56" s="228" t="str">
        <f t="shared" si="8"/>
        <v>TungstenGanzhou Seadragon W &amp; Mo Co., Ltd.</v>
      </c>
    </row>
    <row r="57" spans="1:28" s="227" customFormat="1" ht="25.2">
      <c r="A57" s="181" t="s">
        <v>1391</v>
      </c>
      <c r="B57" s="182" t="s">
        <v>1127</v>
      </c>
      <c r="C57" s="186" t="s">
        <v>1390</v>
      </c>
      <c r="D57" s="230"/>
      <c r="E57" s="182" t="s">
        <v>2432</v>
      </c>
      <c r="F57" s="182" t="s">
        <v>1391</v>
      </c>
      <c r="G57" s="182" t="s">
        <v>13240</v>
      </c>
      <c r="H57" s="183">
        <v>0</v>
      </c>
      <c r="I57" s="184" t="s">
        <v>1741</v>
      </c>
      <c r="J57" s="184" t="s">
        <v>1742</v>
      </c>
      <c r="K57" s="224"/>
      <c r="L57" s="224"/>
      <c r="M57" s="224"/>
      <c r="N57" s="224"/>
      <c r="O57" s="224"/>
      <c r="P57" s="185"/>
      <c r="Q57" s="225"/>
      <c r="R57" s="182" t="str">
        <f ca="1">IF(ISERROR($V57),"",OFFSET('Smelter Look-up'!$C$4,$V57-4,0)&amp;"")</f>
        <v>D Block Metals, LLC</v>
      </c>
      <c r="S57" s="181" t="str">
        <f t="shared" ca="1" si="6"/>
        <v>US</v>
      </c>
      <c r="T57" s="181" t="str">
        <f ca="1">IF(B57="","",IF(ISERROR(MATCH($J57,SorP!$B$1:$B$6279,0)),"",INDIRECT("'SorP'!$A$"&amp;MATCH($S57&amp;$J57,SorP!C:C,0))))</f>
        <v>US-NC</v>
      </c>
      <c r="U57" s="201"/>
      <c r="V57" s="226">
        <f>IF(C57="",NA(),IF(OR(C57="Smelter not listed",C57="Smelter not yet identified"),MATCH($B57&amp;$D57,'Smelter Look-up'!$J:$J,0),MATCH($B57&amp;$C57,'Smelter Look-up'!$J:$J,0)))</f>
        <v>326</v>
      </c>
      <c r="X57" s="227">
        <f t="shared" si="7"/>
        <v>0</v>
      </c>
      <c r="AB57" s="228" t="str">
        <f t="shared" si="8"/>
        <v>TantalumD Block Metals, LLC</v>
      </c>
    </row>
    <row r="58" spans="1:28" s="227" customFormat="1" ht="20.399999999999999">
      <c r="A58" s="181" t="s">
        <v>144</v>
      </c>
      <c r="B58" s="182" t="s">
        <v>1128</v>
      </c>
      <c r="C58" s="186" t="s">
        <v>155</v>
      </c>
      <c r="D58" s="230"/>
      <c r="E58" s="182" t="s">
        <v>1096</v>
      </c>
      <c r="F58" s="182" t="s">
        <v>144</v>
      </c>
      <c r="G58" s="182" t="s">
        <v>13240</v>
      </c>
      <c r="H58" s="183">
        <v>0</v>
      </c>
      <c r="I58" s="184" t="s">
        <v>1835</v>
      </c>
      <c r="J58" s="184" t="s">
        <v>13628</v>
      </c>
      <c r="K58" s="224"/>
      <c r="L58" s="224"/>
      <c r="M58" s="224"/>
      <c r="N58" s="224"/>
      <c r="O58" s="224"/>
      <c r="P58" s="185"/>
      <c r="Q58" s="225"/>
      <c r="R58" s="182" t="str">
        <f ca="1">IF(ISERROR($V58),"",OFFSET('Smelter Look-up'!$C$4,$V58-4,0)&amp;"")</f>
        <v>Malipo Haiyu Tungsten Co., Ltd.</v>
      </c>
      <c r="S58" s="181" t="str">
        <f t="shared" ca="1" si="6"/>
        <v>CN</v>
      </c>
      <c r="T58" s="181" t="str">
        <f ca="1">IF(B58="","",IF(ISERROR(MATCH($J58,SorP!$B$1:$B$6279,0)),"",INDIRECT("'SorP'!$A$"&amp;MATCH($S58&amp;$J58,SorP!C:C,0))))</f>
        <v>CN-YN</v>
      </c>
      <c r="U58" s="201"/>
      <c r="V58" s="226">
        <f>IF(C58="",NA(),IF(OR(C58="Smelter not listed",C58="Smelter not yet identified"),MATCH($B58&amp;$D58,'Smelter Look-up'!$J:$J,0),MATCH($B58&amp;$C58,'Smelter Look-up'!$J:$J,0)))</f>
        <v>615</v>
      </c>
      <c r="X58" s="227">
        <f t="shared" si="7"/>
        <v>0</v>
      </c>
      <c r="AB58" s="228" t="str">
        <f t="shared" si="8"/>
        <v>TungstenMalipo Haiyu Tungsten Co., Ltd.</v>
      </c>
    </row>
    <row r="59" spans="1:28" s="227" customFormat="1" ht="20.399999999999999">
      <c r="A59" s="181" t="s">
        <v>1407</v>
      </c>
      <c r="B59" s="182" t="s">
        <v>1127</v>
      </c>
      <c r="C59" s="186" t="s">
        <v>1406</v>
      </c>
      <c r="D59" s="230"/>
      <c r="E59" s="182" t="s">
        <v>1104</v>
      </c>
      <c r="F59" s="182" t="s">
        <v>1407</v>
      </c>
      <c r="G59" s="182" t="s">
        <v>13240</v>
      </c>
      <c r="H59" s="183">
        <v>0</v>
      </c>
      <c r="I59" s="184" t="s">
        <v>1755</v>
      </c>
      <c r="J59" s="184" t="s">
        <v>1554</v>
      </c>
      <c r="K59" s="224"/>
      <c r="L59" s="224"/>
      <c r="M59" s="224"/>
      <c r="N59" s="224"/>
      <c r="O59" s="224"/>
      <c r="P59" s="185"/>
      <c r="Q59" s="225"/>
      <c r="R59" s="182" t="str">
        <f ca="1">IF(ISERROR($V59),"",OFFSET('Smelter Look-up'!$C$4,$V59-4,0)&amp;"")</f>
        <v>Global Advanced Metals Aizu</v>
      </c>
      <c r="S59" s="181" t="str">
        <f t="shared" ca="1" si="6"/>
        <v>JP</v>
      </c>
      <c r="T59" s="181" t="str">
        <f ca="1">IF(B59="","",IF(ISERROR(MATCH($J59,SorP!$B$1:$B$6279,0)),"",INDIRECT("'SorP'!$A$"&amp;MATCH($S59&amp;$J59,SorP!C:C,0))))</f>
        <v>JP-07</v>
      </c>
      <c r="U59" s="201"/>
      <c r="V59" s="226">
        <f>IF(C59="",NA(),IF(OR(C59="Smelter not listed",C59="Smelter not yet identified"),MATCH($B59&amp;$D59,'Smelter Look-up'!$J:$J,0),MATCH($B59&amp;$C59,'Smelter Look-up'!$J:$J,0)))</f>
        <v>330</v>
      </c>
      <c r="X59" s="227">
        <f t="shared" si="7"/>
        <v>0</v>
      </c>
      <c r="AB59" s="228" t="str">
        <f t="shared" si="8"/>
        <v>TantalumGlobal Advanced Metals Aizu</v>
      </c>
    </row>
    <row r="60" spans="1:28" s="227" customFormat="1" ht="20.399999999999999">
      <c r="A60" s="181" t="s">
        <v>790</v>
      </c>
      <c r="B60" s="182" t="s">
        <v>1128</v>
      </c>
      <c r="C60" s="186" t="s">
        <v>1375</v>
      </c>
      <c r="D60" s="230"/>
      <c r="E60" s="182" t="s">
        <v>1096</v>
      </c>
      <c r="F60" s="182" t="s">
        <v>790</v>
      </c>
      <c r="G60" s="182" t="s">
        <v>13240</v>
      </c>
      <c r="H60" s="183">
        <v>0</v>
      </c>
      <c r="I60" s="184" t="s">
        <v>1824</v>
      </c>
      <c r="J60" s="184" t="s">
        <v>13624</v>
      </c>
      <c r="K60" s="224"/>
      <c r="L60" s="224"/>
      <c r="M60" s="224"/>
      <c r="N60" s="224"/>
      <c r="O60" s="224"/>
      <c r="P60" s="185"/>
      <c r="Q60" s="225"/>
      <c r="R60" s="182" t="str">
        <f ca="1">IF(ISERROR($V60),"",OFFSET('Smelter Look-up'!$C$4,$V60-4,0)&amp;"")</f>
        <v>Guangdong Xianglu Tungsten Co., Ltd.</v>
      </c>
      <c r="S60" s="181" t="str">
        <f t="shared" ca="1" si="6"/>
        <v>CN</v>
      </c>
      <c r="T60" s="181" t="str">
        <f ca="1">IF(B60="","",IF(ISERROR(MATCH($J60,SorP!$B$1:$B$6279,0)),"",INDIRECT("'SorP'!$A$"&amp;MATCH($S60&amp;$J60,SorP!C:C,0))))</f>
        <v>CN-GD</v>
      </c>
      <c r="U60" s="201"/>
      <c r="V60" s="226">
        <f>IF(C60="",NA(),IF(OR(C60="Smelter not listed",C60="Smelter not yet identified"),MATCH($B60&amp;$D60,'Smelter Look-up'!$J:$J,0),MATCH($B60&amp;$C60,'Smelter Look-up'!$J:$J,0)))</f>
        <v>587</v>
      </c>
      <c r="X60" s="227">
        <f t="shared" si="7"/>
        <v>0</v>
      </c>
      <c r="AB60" s="228" t="str">
        <f t="shared" si="8"/>
        <v>TungstenGuangdong Xianglu Tungsten Co., Ltd.</v>
      </c>
    </row>
    <row r="61" spans="1:28" s="227" customFormat="1" ht="20.399999999999999">
      <c r="A61" s="181" t="s">
        <v>795</v>
      </c>
      <c r="B61" s="182" t="s">
        <v>1128</v>
      </c>
      <c r="C61" s="186" t="s">
        <v>1377</v>
      </c>
      <c r="D61" s="230"/>
      <c r="E61" s="182" t="s">
        <v>1104</v>
      </c>
      <c r="F61" s="182" t="s">
        <v>795</v>
      </c>
      <c r="G61" s="182" t="s">
        <v>13240</v>
      </c>
      <c r="H61" s="183">
        <v>0</v>
      </c>
      <c r="I61" s="184" t="s">
        <v>2135</v>
      </c>
      <c r="J61" s="184" t="s">
        <v>1575</v>
      </c>
      <c r="K61" s="224"/>
      <c r="L61" s="224"/>
      <c r="M61" s="224"/>
      <c r="N61" s="224"/>
      <c r="O61" s="224"/>
      <c r="P61" s="185"/>
      <c r="Q61" s="225"/>
      <c r="R61" s="182" t="str">
        <f ca="1">IF(ISERROR($V61),"",OFFSET('Smelter Look-up'!$C$4,$V61-4,0)&amp;"")</f>
        <v>Japan New Metals Co., Ltd.</v>
      </c>
      <c r="S61" s="181" t="str">
        <f t="shared" ca="1" si="6"/>
        <v>JP</v>
      </c>
      <c r="T61" s="181" t="str">
        <f ca="1">IF(B61="","",IF(ISERROR(MATCH($J61,SorP!$B$1:$B$6279,0)),"",INDIRECT("'SorP'!$A$"&amp;MATCH($S61&amp;$J61,SorP!C:C,0))))</f>
        <v>JP-05</v>
      </c>
      <c r="U61" s="201"/>
      <c r="V61" s="226">
        <f>IF(C61="",NA(),IF(OR(C61="Smelter not listed",C61="Smelter not yet identified"),MATCH($B61&amp;$D61,'Smelter Look-up'!$J:$J,0),MATCH($B61&amp;$C61,'Smelter Look-up'!$J:$J,0)))</f>
        <v>600</v>
      </c>
      <c r="X61" s="227">
        <f t="shared" si="7"/>
        <v>0</v>
      </c>
      <c r="AB61" s="228" t="str">
        <f t="shared" si="8"/>
        <v>TungstenJapan New Metals Co., Ltd.</v>
      </c>
    </row>
    <row r="62" spans="1:28" s="227" customFormat="1" ht="20.399999999999999">
      <c r="A62" s="181" t="s">
        <v>1392</v>
      </c>
      <c r="B62" s="182" t="s">
        <v>1127</v>
      </c>
      <c r="C62" s="186" t="s">
        <v>2168</v>
      </c>
      <c r="D62" s="230"/>
      <c r="E62" s="182" t="s">
        <v>1096</v>
      </c>
      <c r="F62" s="182" t="s">
        <v>1392</v>
      </c>
      <c r="G62" s="182" t="s">
        <v>13240</v>
      </c>
      <c r="H62" s="183">
        <v>0</v>
      </c>
      <c r="I62" s="184" t="s">
        <v>1732</v>
      </c>
      <c r="J62" s="184" t="s">
        <v>13623</v>
      </c>
      <c r="K62" s="224"/>
      <c r="L62" s="224"/>
      <c r="M62" s="224"/>
      <c r="N62" s="224"/>
      <c r="O62" s="224"/>
      <c r="P62" s="185"/>
      <c r="Q62" s="225"/>
      <c r="R62" s="182" t="str">
        <f ca="1">IF(ISERROR($V62),"",OFFSET('Smelter Look-up'!$C$4,$V62-4,0)&amp;"")</f>
        <v>FIR Metals &amp; Resource Ltd.</v>
      </c>
      <c r="S62" s="181" t="str">
        <f t="shared" ca="1" si="6"/>
        <v>CN</v>
      </c>
      <c r="T62" s="181" t="str">
        <f ca="1">IF(B62="","",IF(ISERROR(MATCH($J62,SorP!$B$1:$B$6279,0)),"",INDIRECT("'SorP'!$A$"&amp;MATCH($S62&amp;$J62,SorP!C:C,0))))</f>
        <v>CN-HN</v>
      </c>
      <c r="U62" s="201"/>
      <c r="V62" s="226">
        <f>IF(C62="",NA(),IF(OR(C62="Smelter not listed",C62="Smelter not yet identified"),MATCH($B62&amp;$D62,'Smelter Look-up'!$J:$J,0),MATCH($B62&amp;$C62,'Smelter Look-up'!$J:$J,0)))</f>
        <v>329</v>
      </c>
      <c r="X62" s="227">
        <f t="shared" si="7"/>
        <v>0</v>
      </c>
      <c r="AB62" s="228" t="str">
        <f t="shared" si="8"/>
        <v>TantalumFIR Metals &amp; Resource Ltd.</v>
      </c>
    </row>
    <row r="63" spans="1:28" s="227" customFormat="1" ht="20.399999999999999">
      <c r="A63" s="181" t="s">
        <v>1394</v>
      </c>
      <c r="B63" s="182" t="s">
        <v>1127</v>
      </c>
      <c r="C63" s="186" t="s">
        <v>2169</v>
      </c>
      <c r="D63" s="230"/>
      <c r="E63" s="182" t="s">
        <v>1096</v>
      </c>
      <c r="F63" s="182" t="s">
        <v>1394</v>
      </c>
      <c r="G63" s="182" t="s">
        <v>13240</v>
      </c>
      <c r="H63" s="183">
        <v>0</v>
      </c>
      <c r="I63" s="184" t="s">
        <v>1720</v>
      </c>
      <c r="J63" s="184" t="s">
        <v>13619</v>
      </c>
      <c r="K63" s="224"/>
      <c r="L63" s="224"/>
      <c r="M63" s="224"/>
      <c r="N63" s="224"/>
      <c r="O63" s="224"/>
      <c r="P63" s="185"/>
      <c r="Q63" s="225"/>
      <c r="R63" s="182" t="str">
        <f ca="1">IF(ISERROR($V63),"",OFFSET('Smelter Look-up'!$C$4,$V63-4,0)&amp;"")</f>
        <v>Jiujiang Zhongao Tantalum &amp; Niobium Co., Ltd.</v>
      </c>
      <c r="S63" s="181" t="str">
        <f t="shared" ca="1" si="6"/>
        <v>CN</v>
      </c>
      <c r="T63" s="181" t="str">
        <f ca="1">IF(B63="","",IF(ISERROR(MATCH($J63,SorP!$B$1:$B$6279,0)),"",INDIRECT("'SorP'!$A$"&amp;MATCH($S63&amp;$J63,SorP!C:C,0))))</f>
        <v>CN-JX</v>
      </c>
      <c r="U63" s="201"/>
      <c r="V63" s="226">
        <f>IF(C63="",NA(),IF(OR(C63="Smelter not listed",C63="Smelter not yet identified"),MATCH($B63&amp;$D63,'Smelter Look-up'!$J:$J,0),MATCH($B63&amp;$C63,'Smelter Look-up'!$J:$J,0)))</f>
        <v>344</v>
      </c>
      <c r="X63" s="227">
        <f t="shared" si="7"/>
        <v>0</v>
      </c>
      <c r="AB63" s="228" t="str">
        <f t="shared" si="8"/>
        <v>TantalumJiujiang Zhongao Tantalum &amp; Niobium Co., Ltd.</v>
      </c>
    </row>
    <row r="64" spans="1:28" s="227" customFormat="1" ht="20.399999999999999">
      <c r="A64" s="181" t="s">
        <v>751</v>
      </c>
      <c r="B64" s="182" t="s">
        <v>1127</v>
      </c>
      <c r="C64" s="186" t="s">
        <v>15467</v>
      </c>
      <c r="D64" s="230"/>
      <c r="E64" s="182" t="s">
        <v>1092</v>
      </c>
      <c r="F64" s="182" t="s">
        <v>751</v>
      </c>
      <c r="G64" s="182" t="s">
        <v>13240</v>
      </c>
      <c r="H64" s="183">
        <v>0</v>
      </c>
      <c r="I64" s="184" t="s">
        <v>1721</v>
      </c>
      <c r="J64" s="184" t="s">
        <v>1547</v>
      </c>
      <c r="K64" s="224"/>
      <c r="L64" s="224"/>
      <c r="M64" s="224"/>
      <c r="N64" s="224"/>
      <c r="O64" s="224"/>
      <c r="P64" s="185"/>
      <c r="Q64" s="225"/>
      <c r="R64" s="182" t="str">
        <f ca="1">IF(ISERROR($V64),"",OFFSET('Smelter Look-up'!$C$4,$V64-4,0)&amp;"")</f>
        <v>AMG Brasil</v>
      </c>
      <c r="S64" s="181" t="str">
        <f t="shared" ca="1" si="6"/>
        <v>BR</v>
      </c>
      <c r="T64" s="181" t="str">
        <f ca="1">IF(B64="","",IF(ISERROR(MATCH($J64,SorP!$B$1:$B$6279,0)),"",INDIRECT("'SorP'!$A$"&amp;MATCH($S64&amp;$J64,SorP!C:C,0))))</f>
        <v>BR-MG</v>
      </c>
      <c r="U64" s="201"/>
      <c r="V64" s="226">
        <f>IF(C64="",NA(),IF(OR(C64="Smelter not listed",C64="Smelter not yet identified"),MATCH($B64&amp;$D64,'Smelter Look-up'!$J:$J,0),MATCH($B64&amp;$C64,'Smelter Look-up'!$J:$J,0)))</f>
        <v>323</v>
      </c>
      <c r="X64" s="227">
        <f t="shared" si="7"/>
        <v>0</v>
      </c>
      <c r="AB64" s="228" t="str">
        <f t="shared" si="8"/>
        <v>TantalumAMG Brasil</v>
      </c>
    </row>
    <row r="65" spans="1:28" s="227" customFormat="1" ht="20.399999999999999">
      <c r="A65" s="181" t="s">
        <v>755</v>
      </c>
      <c r="B65" s="182" t="s">
        <v>1127</v>
      </c>
      <c r="C65" s="186" t="s">
        <v>2526</v>
      </c>
      <c r="D65" s="230"/>
      <c r="E65" s="182" t="s">
        <v>1099</v>
      </c>
      <c r="F65" s="182" t="s">
        <v>755</v>
      </c>
      <c r="G65" s="182" t="s">
        <v>13240</v>
      </c>
      <c r="H65" s="183">
        <v>0</v>
      </c>
      <c r="I65" s="184" t="s">
        <v>1728</v>
      </c>
      <c r="J65" s="184" t="s">
        <v>1729</v>
      </c>
      <c r="K65" s="224"/>
      <c r="L65" s="224"/>
      <c r="M65" s="224"/>
      <c r="N65" s="224"/>
      <c r="O65" s="224"/>
      <c r="P65" s="185"/>
      <c r="Q65" s="225"/>
      <c r="R65" s="182" t="str">
        <f ca="1">IF(ISERROR($V65),"",OFFSET('Smelter Look-up'!$C$4,$V65-4,0)&amp;"")</f>
        <v>NPM Silmet AS</v>
      </c>
      <c r="S65" s="181" t="str">
        <f t="shared" ca="1" si="6"/>
        <v>EE</v>
      </c>
      <c r="T65" s="181" t="str">
        <f ca="1">IF(B65="","",IF(ISERROR(MATCH($J65,SorP!$B$1:$B$6279,0)),"",INDIRECT("'SorP'!$A$"&amp;MATCH($S65&amp;$J65,SorP!C:C,0))))</f>
        <v>EE-45</v>
      </c>
      <c r="U65" s="201"/>
      <c r="V65" s="226">
        <f>IF(C65="",NA(),IF(OR(C65="Smelter not listed",C65="Smelter not yet identified"),MATCH($B65&amp;$D65,'Smelter Look-up'!$J:$J,0),MATCH($B65&amp;$C65,'Smelter Look-up'!$J:$J,0)))</f>
        <v>359</v>
      </c>
      <c r="X65" s="227">
        <f t="shared" si="7"/>
        <v>0</v>
      </c>
      <c r="AB65" s="228" t="str">
        <f t="shared" si="8"/>
        <v>TantalumNPM Silmet AS</v>
      </c>
    </row>
    <row r="66" spans="1:28" s="227" customFormat="1" ht="20.399999999999999">
      <c r="A66" s="181" t="s">
        <v>1416</v>
      </c>
      <c r="B66" s="182" t="s">
        <v>1127</v>
      </c>
      <c r="C66" s="186" t="s">
        <v>15081</v>
      </c>
      <c r="D66" s="230"/>
      <c r="E66" s="182" t="s">
        <v>1104</v>
      </c>
      <c r="F66" s="182" t="s">
        <v>1416</v>
      </c>
      <c r="G66" s="182" t="s">
        <v>13240</v>
      </c>
      <c r="H66" s="183">
        <v>0</v>
      </c>
      <c r="I66" s="184" t="s">
        <v>1752</v>
      </c>
      <c r="J66" s="184" t="s">
        <v>1753</v>
      </c>
      <c r="K66" s="224"/>
      <c r="L66" s="224"/>
      <c r="M66" s="224"/>
      <c r="N66" s="224"/>
      <c r="O66" s="224"/>
      <c r="P66" s="185"/>
      <c r="Q66" s="225"/>
      <c r="R66" s="182" t="str">
        <f ca="1">IF(ISERROR($V66),"",OFFSET('Smelter Look-up'!$C$4,$V66-4,0)&amp;"")</f>
        <v>TANIOBIS Japan Co., Ltd.</v>
      </c>
      <c r="S66" s="181" t="str">
        <f t="shared" ca="1" si="6"/>
        <v>JP</v>
      </c>
      <c r="T66" s="181" t="str">
        <f ca="1">IF(B66="","",IF(ISERROR(MATCH($J66,SorP!$B$1:$B$6279,0)),"",INDIRECT("'SorP'!$A$"&amp;MATCH($S66&amp;$J66,SorP!C:C,0))))</f>
        <v>JP-08</v>
      </c>
      <c r="U66" s="201"/>
      <c r="V66" s="226">
        <f>IF(C66="",NA(),IF(OR(C66="Smelter not listed",C66="Smelter not yet identified"),MATCH($B66&amp;$D66,'Smelter Look-up'!$J:$J,0),MATCH($B66&amp;$C66,'Smelter Look-up'!$J:$J,0)))</f>
        <v>375</v>
      </c>
      <c r="X66" s="227">
        <f t="shared" si="7"/>
        <v>0</v>
      </c>
      <c r="AB66" s="228" t="str">
        <f t="shared" si="8"/>
        <v>TantalumTANIOBIS Japan Co., Ltd.</v>
      </c>
    </row>
    <row r="67" spans="1:28" s="227" customFormat="1" ht="20.399999999999999">
      <c r="A67" s="181" t="s">
        <v>1417</v>
      </c>
      <c r="B67" s="182" t="s">
        <v>1127</v>
      </c>
      <c r="C67" s="186" t="s">
        <v>15082</v>
      </c>
      <c r="D67" s="230"/>
      <c r="E67" s="182" t="s">
        <v>1097</v>
      </c>
      <c r="F67" s="182" t="s">
        <v>1417</v>
      </c>
      <c r="G67" s="182" t="s">
        <v>13240</v>
      </c>
      <c r="H67" s="183">
        <v>0</v>
      </c>
      <c r="I67" s="184" t="s">
        <v>1750</v>
      </c>
      <c r="J67" s="184" t="s">
        <v>1543</v>
      </c>
      <c r="K67" s="224"/>
      <c r="L67" s="224"/>
      <c r="M67" s="224"/>
      <c r="N67" s="224"/>
      <c r="O67" s="224"/>
      <c r="P67" s="185"/>
      <c r="Q67" s="225"/>
      <c r="R67" s="182" t="str">
        <f ca="1">IF(ISERROR($V67),"",OFFSET('Smelter Look-up'!$C$4,$V67-4,0)&amp;"")</f>
        <v>TANIOBIS Smelting GmbH &amp; Co. KG</v>
      </c>
      <c r="S67" s="181" t="str">
        <f t="shared" ca="1" si="6"/>
        <v>DE</v>
      </c>
      <c r="T67" s="181" t="str">
        <f ca="1">IF(B67="","",IF(ISERROR(MATCH($J67,SorP!$B$1:$B$6279,0)),"",INDIRECT("'SorP'!$A$"&amp;MATCH($S67&amp;$J67,SorP!C:C,0))))</f>
        <v>DE-BW</v>
      </c>
      <c r="U67" s="201"/>
      <c r="V67" s="226">
        <f>IF(C67="",NA(),IF(OR(C67="Smelter not listed",C67="Smelter not yet identified"),MATCH($B67&amp;$D67,'Smelter Look-up'!$J:$J,0),MATCH($B67&amp;$C67,'Smelter Look-up'!$J:$J,0)))</f>
        <v>376</v>
      </c>
      <c r="X67" s="227">
        <f t="shared" si="7"/>
        <v>0</v>
      </c>
      <c r="AB67" s="228" t="str">
        <f t="shared" si="8"/>
        <v>TantalumTANIOBIS Smelting GmbH &amp; Co. KG</v>
      </c>
    </row>
    <row r="68" spans="1:28" s="227" customFormat="1" ht="20.399999999999999">
      <c r="A68" s="181" t="s">
        <v>753</v>
      </c>
      <c r="B68" s="182" t="s">
        <v>1127</v>
      </c>
      <c r="C68" s="186" t="s">
        <v>12430</v>
      </c>
      <c r="D68" s="230"/>
      <c r="E68" s="182" t="s">
        <v>1092</v>
      </c>
      <c r="F68" s="182" t="s">
        <v>753</v>
      </c>
      <c r="G68" s="182" t="s">
        <v>13240</v>
      </c>
      <c r="H68" s="183">
        <v>0</v>
      </c>
      <c r="I68" s="184" t="s">
        <v>1724</v>
      </c>
      <c r="J68" s="184" t="s">
        <v>1725</v>
      </c>
      <c r="K68" s="224"/>
      <c r="L68" s="224"/>
      <c r="M68" s="224"/>
      <c r="N68" s="224"/>
      <c r="O68" s="224"/>
      <c r="P68" s="185"/>
      <c r="Q68" s="225"/>
      <c r="R68" s="182" t="str">
        <f ca="1">IF(ISERROR($V68),"",OFFSET('Smelter Look-up'!$C$4,$V68-4,0)&amp;"")</f>
        <v>Mineracao Taboca S.A.</v>
      </c>
      <c r="S68" s="181" t="str">
        <f t="shared" ca="1" si="6"/>
        <v>BR</v>
      </c>
      <c r="T68" s="181" t="str">
        <f ca="1">IF(B68="","",IF(ISERROR(MATCH($J68,SorP!$B$1:$B$6279,0)),"",INDIRECT("'SorP'!$A$"&amp;MATCH($S68&amp;$J68,SorP!C:C,0))))</f>
        <v>BR-AM</v>
      </c>
      <c r="U68" s="201"/>
      <c r="V68" s="226">
        <f>IF(C68="",NA(),IF(OR(C68="Smelter not listed",C68="Smelter not yet identified"),MATCH($B68&amp;$D68,'Smelter Look-up'!$J:$J,0),MATCH($B68&amp;$C68,'Smelter Look-up'!$J:$J,0)))</f>
        <v>351</v>
      </c>
      <c r="X68" s="227">
        <f t="shared" si="7"/>
        <v>0</v>
      </c>
      <c r="AB68" s="228" t="str">
        <f t="shared" si="8"/>
        <v>TantalumMineracao Taboca S.A.</v>
      </c>
    </row>
    <row r="69" spans="1:28" s="227" customFormat="1" ht="20.399999999999999">
      <c r="A69" s="181" t="s">
        <v>2270</v>
      </c>
      <c r="B69" s="182" t="s">
        <v>1127</v>
      </c>
      <c r="C69" s="186" t="s">
        <v>2269</v>
      </c>
      <c r="D69" s="230"/>
      <c r="E69" s="182" t="s">
        <v>1096</v>
      </c>
      <c r="F69" s="182" t="s">
        <v>2270</v>
      </c>
      <c r="G69" s="182" t="s">
        <v>13240</v>
      </c>
      <c r="H69" s="183">
        <v>0</v>
      </c>
      <c r="I69" s="184" t="s">
        <v>1739</v>
      </c>
      <c r="J69" s="184" t="s">
        <v>13619</v>
      </c>
      <c r="K69" s="224"/>
      <c r="L69" s="224"/>
      <c r="M69" s="224"/>
      <c r="N69" s="224"/>
      <c r="O69" s="224"/>
      <c r="P69" s="185"/>
      <c r="Q69" s="225"/>
      <c r="R69" s="182" t="str">
        <f ca="1">IF(ISERROR($V69),"",OFFSET('Smelter Look-up'!$C$4,$V69-4,0)&amp;"")</f>
        <v>Jiangxi Tuohong New Raw Material</v>
      </c>
      <c r="S69" s="181" t="str">
        <f t="shared" ref="S69" ca="1" si="9">IF(B69="","",IF(ISERROR(MATCH($E69,CL,0)),"Unknown",INDIRECT("'C'!$A$"&amp;MATCH($E69,CL,0)+1)))</f>
        <v>CN</v>
      </c>
      <c r="T69" s="181" t="str">
        <f ca="1">IF(B69="","",IF(ISERROR(MATCH($J69,SorP!$B$1:$B$6279,0)),"",INDIRECT("'SorP'!$A$"&amp;MATCH($S69&amp;$J69,SorP!C:C,0))))</f>
        <v>CN-JX</v>
      </c>
      <c r="U69" s="201"/>
      <c r="V69" s="226">
        <f>IF(C69="",NA(),IF(OR(C69="Smelter not listed",C69="Smelter not yet identified"),MATCH($B69&amp;$D69,'Smelter Look-up'!$J:$J,0),MATCH($B69&amp;$C69,'Smelter Look-up'!$J:$J,0)))</f>
        <v>340</v>
      </c>
      <c r="X69" s="227">
        <f t="shared" ref="X69" si="10">IF(AND(C69="Smelter not listed",OR(LEN(D69)=0,LEN(E69)=0)),1,0)</f>
        <v>0</v>
      </c>
      <c r="AB69" s="228" t="str">
        <f t="shared" ref="AB69" si="11">B69&amp;C69</f>
        <v>TantalumJiangxi Tuohong New Raw Material</v>
      </c>
    </row>
    <row r="70" spans="1:28" s="227" customFormat="1" ht="25.2">
      <c r="A70" s="181" t="s">
        <v>1409</v>
      </c>
      <c r="B70" s="182" t="s">
        <v>1127</v>
      </c>
      <c r="C70" s="186" t="s">
        <v>1408</v>
      </c>
      <c r="D70" s="230"/>
      <c r="E70" s="182" t="s">
        <v>2432</v>
      </c>
      <c r="F70" s="182" t="s">
        <v>1409</v>
      </c>
      <c r="G70" s="182" t="s">
        <v>13240</v>
      </c>
      <c r="H70" s="183">
        <v>0</v>
      </c>
      <c r="I70" s="184" t="s">
        <v>1754</v>
      </c>
      <c r="J70" s="184" t="s">
        <v>1737</v>
      </c>
      <c r="K70" s="224"/>
      <c r="L70" s="224"/>
      <c r="M70" s="224"/>
      <c r="N70" s="224"/>
      <c r="O70" s="224"/>
      <c r="P70" s="185"/>
      <c r="Q70" s="225"/>
      <c r="R70" s="182" t="str">
        <f ca="1">IF(ISERROR($V70),"",OFFSET('Smelter Look-up'!$C$4,$V70-4,0)&amp;"")</f>
        <v>Global Advanced Metals Boyertown</v>
      </c>
      <c r="S70" s="181" t="str">
        <f t="shared" ref="S70:S101" ca="1" si="12">IF(B70="","",IF(ISERROR(MATCH($E70,CL,0)),"Unknown",INDIRECT("'C'!$A$"&amp;MATCH($E70,CL,0)+1)))</f>
        <v>US</v>
      </c>
      <c r="T70" s="181" t="str">
        <f ca="1">IF(B70="","",IF(ISERROR(MATCH($J70,SorP!$B$1:$B$6279,0)),"",INDIRECT("'SorP'!$A$"&amp;MATCH($S70&amp;$J70,SorP!C:C,0))))</f>
        <v>US-PA</v>
      </c>
      <c r="U70" s="201"/>
      <c r="V70" s="226">
        <f>IF(C70="",NA(),IF(OR(C70="Smelter not listed",C70="Smelter not yet identified"),MATCH($B70&amp;$D70,'Smelter Look-up'!$J:$J,0),MATCH($B70&amp;$C70,'Smelter Look-up'!$J:$J,0)))</f>
        <v>331</v>
      </c>
      <c r="X70" s="227">
        <f t="shared" ref="X70:X101" si="13">IF(AND(C70="Smelter not listed",OR(LEN(D70)=0,LEN(E70)=0)),1,0)</f>
        <v>0</v>
      </c>
      <c r="AB70" s="228" t="str">
        <f t="shared" ref="AB70:AB101" si="14">B70&amp;C70</f>
        <v>TantalumGlobal Advanced Metals Boyertown</v>
      </c>
    </row>
    <row r="71" spans="1:28" s="227" customFormat="1" ht="20.399999999999999">
      <c r="A71" s="181" t="s">
        <v>145</v>
      </c>
      <c r="B71" s="182" t="s">
        <v>1128</v>
      </c>
      <c r="C71" s="186" t="s">
        <v>156</v>
      </c>
      <c r="D71" s="230"/>
      <c r="E71" s="182" t="s">
        <v>1096</v>
      </c>
      <c r="F71" s="182" t="s">
        <v>145</v>
      </c>
      <c r="G71" s="182" t="s">
        <v>13240</v>
      </c>
      <c r="H71" s="183">
        <v>0</v>
      </c>
      <c r="I71" s="184" t="s">
        <v>1832</v>
      </c>
      <c r="J71" s="184" t="s">
        <v>13618</v>
      </c>
      <c r="K71" s="224"/>
      <c r="L71" s="224"/>
      <c r="M71" s="224"/>
      <c r="N71" s="224"/>
      <c r="O71" s="224"/>
      <c r="P71" s="185"/>
      <c r="Q71" s="225"/>
      <c r="R71" s="182" t="str">
        <f ca="1">IF(ISERROR($V71),"",OFFSET('Smelter Look-up'!$C$4,$V71-4,0)&amp;"")</f>
        <v>Xiamen Tungsten (H.C.) Co., Ltd.</v>
      </c>
      <c r="S71" s="181" t="str">
        <f t="shared" ca="1" si="12"/>
        <v>CN</v>
      </c>
      <c r="T71" s="181" t="str">
        <f ca="1">IF(B71="","",IF(ISERROR(MATCH($J71,SorP!$B$1:$B$6279,0)),"",INDIRECT("'SorP'!$A$"&amp;MATCH($S71&amp;$J71,SorP!C:C,0))))</f>
        <v>CN-FJ</v>
      </c>
      <c r="U71" s="201"/>
      <c r="V71" s="226">
        <f>IF(C71="",NA(),IF(OR(C71="Smelter not listed",C71="Smelter not yet identified"),MATCH($B71&amp;$D71,'Smelter Look-up'!$J:$J,0),MATCH($B71&amp;$C71,'Smelter Look-up'!$J:$J,0)))</f>
        <v>635</v>
      </c>
      <c r="X71" s="227">
        <f t="shared" si="13"/>
        <v>0</v>
      </c>
      <c r="AB71" s="228" t="str">
        <f t="shared" si="14"/>
        <v>TungstenXiamen Tungsten (H.C.) Co., Ltd.</v>
      </c>
    </row>
    <row r="72" spans="1:28" s="227" customFormat="1" ht="20.399999999999999">
      <c r="A72" s="181" t="s">
        <v>140</v>
      </c>
      <c r="B72" s="182" t="s">
        <v>1128</v>
      </c>
      <c r="C72" s="186" t="s">
        <v>151</v>
      </c>
      <c r="D72" s="230"/>
      <c r="E72" s="182" t="s">
        <v>1096</v>
      </c>
      <c r="F72" s="182" t="s">
        <v>140</v>
      </c>
      <c r="G72" s="182" t="s">
        <v>13240</v>
      </c>
      <c r="H72" s="183">
        <v>0</v>
      </c>
      <c r="I72" s="184" t="s">
        <v>1773</v>
      </c>
      <c r="J72" s="184" t="s">
        <v>13619</v>
      </c>
      <c r="K72" s="224"/>
      <c r="L72" s="224"/>
      <c r="M72" s="224"/>
      <c r="N72" s="224"/>
      <c r="O72" s="224"/>
      <c r="P72" s="185"/>
      <c r="Q72" s="225"/>
      <c r="R72" s="182" t="str">
        <f ca="1">IF(ISERROR($V72),"",OFFSET('Smelter Look-up'!$C$4,$V72-4,0)&amp;"")</f>
        <v>Ganzhou Jiangwu Ferrotungsten Co., Ltd.</v>
      </c>
      <c r="S72" s="181" t="str">
        <f t="shared" ca="1" si="12"/>
        <v>CN</v>
      </c>
      <c r="T72" s="181" t="str">
        <f ca="1">IF(B72="","",IF(ISERROR(MATCH($J72,SorP!$B$1:$B$6279,0)),"",INDIRECT("'SorP'!$A$"&amp;MATCH($S72&amp;$J72,SorP!C:C,0))))</f>
        <v>CN-JX</v>
      </c>
      <c r="U72" s="201"/>
      <c r="V72" s="226">
        <f>IF(C72="",NA(),IF(OR(C72="Smelter not listed",C72="Smelter not yet identified"),MATCH($B72&amp;$D72,'Smelter Look-up'!$J:$J,0),MATCH($B72&amp;$C72,'Smelter Look-up'!$J:$J,0)))</f>
        <v>582</v>
      </c>
      <c r="X72" s="227">
        <f t="shared" si="13"/>
        <v>0</v>
      </c>
      <c r="AB72" s="228" t="str">
        <f t="shared" si="14"/>
        <v>TungstenGanzhou Jiangwu Ferrotungsten Co., Ltd.</v>
      </c>
    </row>
    <row r="73" spans="1:28" s="227" customFormat="1" ht="25.2">
      <c r="A73" s="181" t="s">
        <v>143</v>
      </c>
      <c r="B73" s="182" t="s">
        <v>1128</v>
      </c>
      <c r="C73" s="186" t="s">
        <v>154</v>
      </c>
      <c r="D73" s="230"/>
      <c r="E73" s="182" t="s">
        <v>1096</v>
      </c>
      <c r="F73" s="182" t="s">
        <v>143</v>
      </c>
      <c r="G73" s="182" t="s">
        <v>13240</v>
      </c>
      <c r="H73" s="183">
        <v>0</v>
      </c>
      <c r="I73" s="184" t="s">
        <v>1834</v>
      </c>
      <c r="J73" s="184" t="s">
        <v>13619</v>
      </c>
      <c r="K73" s="224"/>
      <c r="L73" s="224"/>
      <c r="M73" s="224"/>
      <c r="N73" s="224"/>
      <c r="O73" s="224"/>
      <c r="P73" s="185"/>
      <c r="Q73" s="225"/>
      <c r="R73" s="182" t="str">
        <f ca="1">IF(ISERROR($V73),"",OFFSET('Smelter Look-up'!$C$4,$V73-4,0)&amp;"")</f>
        <v>Jiangxi Tonggu Non-ferrous Metallurgical &amp; Chemical Co., Ltd.</v>
      </c>
      <c r="S73" s="181" t="str">
        <f t="shared" ca="1" si="12"/>
        <v>CN</v>
      </c>
      <c r="T73" s="181" t="str">
        <f ca="1">IF(B73="","",IF(ISERROR(MATCH($J73,SorP!$B$1:$B$6279,0)),"",INDIRECT("'SorP'!$A$"&amp;MATCH($S73&amp;$J73,SorP!C:C,0))))</f>
        <v>CN-JX</v>
      </c>
      <c r="U73" s="201"/>
      <c r="V73" s="226">
        <f>IF(C73="",NA(),IF(OR(C73="Smelter not listed",C73="Smelter not yet identified"),MATCH($B73&amp;$D73,'Smelter Look-up'!$J:$J,0),MATCH($B73&amp;$C73,'Smelter Look-up'!$J:$J,0)))</f>
        <v>604</v>
      </c>
      <c r="X73" s="227">
        <f t="shared" si="13"/>
        <v>0</v>
      </c>
      <c r="AB73" s="228" t="str">
        <f t="shared" si="14"/>
        <v>TungstenJiangxi Tonggu Non-ferrous Metallurgical &amp; Chemical Co., Ltd.</v>
      </c>
    </row>
    <row r="74" spans="1:28" s="227" customFormat="1" ht="20.399999999999999">
      <c r="A74" s="181" t="s">
        <v>138</v>
      </c>
      <c r="B74" s="182" t="s">
        <v>1128</v>
      </c>
      <c r="C74" s="186" t="s">
        <v>157</v>
      </c>
      <c r="D74" s="230"/>
      <c r="E74" s="182" t="s">
        <v>1096</v>
      </c>
      <c r="F74" s="182" t="s">
        <v>138</v>
      </c>
      <c r="G74" s="182" t="s">
        <v>13240</v>
      </c>
      <c r="H74" s="183">
        <v>0</v>
      </c>
      <c r="I74" s="184" t="s">
        <v>1837</v>
      </c>
      <c r="J74" s="184" t="s">
        <v>13619</v>
      </c>
      <c r="K74" s="224"/>
      <c r="L74" s="224"/>
      <c r="M74" s="224"/>
      <c r="N74" s="224"/>
      <c r="O74" s="224"/>
      <c r="P74" s="185"/>
      <c r="Q74" s="225"/>
      <c r="R74" s="182" t="str">
        <f ca="1">IF(ISERROR($V74),"",OFFSET('Smelter Look-up'!$C$4,$V74-4,0)&amp;"")</f>
        <v>Jiangxi Gan Bei Tungsten Co., Ltd.</v>
      </c>
      <c r="S74" s="181" t="str">
        <f t="shared" ca="1" si="12"/>
        <v>CN</v>
      </c>
      <c r="T74" s="181" t="str">
        <f ca="1">IF(B74="","",IF(ISERROR(MATCH($J74,SorP!$B$1:$B$6279,0)),"",INDIRECT("'SorP'!$A$"&amp;MATCH($S74&amp;$J74,SorP!C:C,0))))</f>
        <v>CN-JX</v>
      </c>
      <c r="U74" s="201"/>
      <c r="V74" s="226">
        <f>IF(C74="",NA(),IF(OR(C74="Smelter not listed",C74="Smelter not yet identified"),MATCH($B74&amp;$D74,'Smelter Look-up'!$J:$J,0),MATCH($B74&amp;$C74,'Smelter Look-up'!$J:$J,0)))</f>
        <v>602</v>
      </c>
      <c r="X74" s="227">
        <f t="shared" si="13"/>
        <v>0</v>
      </c>
      <c r="AB74" s="228" t="str">
        <f t="shared" si="14"/>
        <v>TungstenJiangxi Gan Bei Tungsten Co., Ltd.</v>
      </c>
    </row>
    <row r="75" spans="1:28" s="227" customFormat="1" ht="25.2">
      <c r="A75" s="181" t="s">
        <v>1414</v>
      </c>
      <c r="B75" s="182" t="s">
        <v>1127</v>
      </c>
      <c r="C75" s="186" t="s">
        <v>1413</v>
      </c>
      <c r="D75" s="230"/>
      <c r="E75" s="182" t="s">
        <v>2432</v>
      </c>
      <c r="F75" s="182" t="s">
        <v>1414</v>
      </c>
      <c r="G75" s="182" t="s">
        <v>13240</v>
      </c>
      <c r="H75" s="183">
        <v>0</v>
      </c>
      <c r="I75" s="184" t="s">
        <v>1751</v>
      </c>
      <c r="J75" s="184" t="s">
        <v>1625</v>
      </c>
      <c r="K75" s="224"/>
      <c r="L75" s="224"/>
      <c r="M75" s="224"/>
      <c r="N75" s="224"/>
      <c r="O75" s="224"/>
      <c r="P75" s="185"/>
      <c r="Q75" s="225"/>
      <c r="R75" s="182" t="str">
        <f ca="1">IF(ISERROR($V75),"",OFFSET('Smelter Look-up'!$C$4,$V75-4,0)&amp;"")</f>
        <v>Materion Newton Inc.</v>
      </c>
      <c r="S75" s="181" t="str">
        <f t="shared" ca="1" si="12"/>
        <v>US</v>
      </c>
      <c r="T75" s="181" t="str">
        <f ca="1">IF(B75="","",IF(ISERROR(MATCH($J75,SorP!$B$1:$B$6279,0)),"",INDIRECT("'SorP'!$A$"&amp;MATCH($S75&amp;$J75,SorP!C:C,0))))</f>
        <v>US-MA</v>
      </c>
      <c r="U75" s="201"/>
      <c r="V75" s="226">
        <f>IF(C75="",NA(),IF(OR(C75="Smelter not listed",C75="Smelter not yet identified"),MATCH($B75&amp;$D75,'Smelter Look-up'!$J:$J,0),MATCH($B75&amp;$C75,'Smelter Look-up'!$J:$J,0)))</f>
        <v>334</v>
      </c>
      <c r="X75" s="227">
        <f t="shared" si="13"/>
        <v>0</v>
      </c>
      <c r="AB75" s="228" t="str">
        <f t="shared" si="14"/>
        <v>TantalumH.C. Starck Inc.</v>
      </c>
    </row>
    <row r="76" spans="1:28" s="227" customFormat="1" ht="20.399999999999999">
      <c r="A76" s="181" t="s">
        <v>1412</v>
      </c>
      <c r="B76" s="182" t="s">
        <v>1127</v>
      </c>
      <c r="C76" s="186" t="s">
        <v>15083</v>
      </c>
      <c r="D76" s="230"/>
      <c r="E76" s="182" t="s">
        <v>1097</v>
      </c>
      <c r="F76" s="182" t="s">
        <v>1412</v>
      </c>
      <c r="G76" s="182" t="s">
        <v>13240</v>
      </c>
      <c r="H76" s="183">
        <v>0</v>
      </c>
      <c r="I76" s="184" t="s">
        <v>1749</v>
      </c>
      <c r="J76" s="184" t="s">
        <v>4246</v>
      </c>
      <c r="K76" s="224"/>
      <c r="L76" s="224"/>
      <c r="M76" s="224"/>
      <c r="N76" s="224"/>
      <c r="O76" s="224"/>
      <c r="P76" s="185"/>
      <c r="Q76" s="225"/>
      <c r="R76" s="182" t="str">
        <f ca="1">IF(ISERROR($V76),"",OFFSET('Smelter Look-up'!$C$4,$V76-4,0)&amp;"")</f>
        <v>TANIOBIS GmbH</v>
      </c>
      <c r="S76" s="181" t="str">
        <f t="shared" ca="1" si="12"/>
        <v>DE</v>
      </c>
      <c r="T76" s="181" t="str">
        <f ca="1">IF(B76="","",IF(ISERROR(MATCH($J76,SorP!$B$1:$B$6279,0)),"",INDIRECT("'SorP'!$A$"&amp;MATCH($S76&amp;$J76,SorP!C:C,0))))</f>
        <v>DE-NI</v>
      </c>
      <c r="U76" s="201"/>
      <c r="V76" s="226">
        <f>IF(C76="",NA(),IF(OR(C76="Smelter not listed",C76="Smelter not yet identified"),MATCH($B76&amp;$D76,'Smelter Look-up'!$J:$J,0),MATCH($B76&amp;$C76,'Smelter Look-up'!$J:$J,0)))</f>
        <v>374</v>
      </c>
      <c r="X76" s="227">
        <f t="shared" si="13"/>
        <v>0</v>
      </c>
      <c r="AB76" s="228" t="str">
        <f t="shared" si="14"/>
        <v>TantalumTANIOBIS GmbH</v>
      </c>
    </row>
    <row r="77" spans="1:28" s="227" customFormat="1" ht="20.399999999999999">
      <c r="A77" s="181" t="s">
        <v>393</v>
      </c>
      <c r="B77" s="182" t="s">
        <v>1128</v>
      </c>
      <c r="C77" s="186" t="s">
        <v>392</v>
      </c>
      <c r="D77" s="230"/>
      <c r="E77" s="182" t="s">
        <v>1096</v>
      </c>
      <c r="F77" s="182" t="s">
        <v>393</v>
      </c>
      <c r="G77" s="182" t="s">
        <v>13240</v>
      </c>
      <c r="H77" s="183">
        <v>0</v>
      </c>
      <c r="I77" s="184" t="s">
        <v>1773</v>
      </c>
      <c r="J77" s="184" t="s">
        <v>13619</v>
      </c>
      <c r="K77" s="224"/>
      <c r="L77" s="224"/>
      <c r="M77" s="224"/>
      <c r="N77" s="224"/>
      <c r="O77" s="224"/>
      <c r="P77" s="185"/>
      <c r="Q77" s="225"/>
      <c r="R77" s="182" t="str">
        <f ca="1">IF(ISERROR($V77),"",OFFSET('Smelter Look-up'!$C$4,$V77-4,0)&amp;"")</f>
        <v>Ganzhou Seadragon W &amp; Mo Co., Ltd.</v>
      </c>
      <c r="S77" s="181" t="str">
        <f t="shared" ca="1" si="12"/>
        <v>CN</v>
      </c>
      <c r="T77" s="181" t="str">
        <f ca="1">IF(B77="","",IF(ISERROR(MATCH($J77,SorP!$B$1:$B$6279,0)),"",INDIRECT("'SorP'!$A$"&amp;MATCH($S77&amp;$J77,SorP!C:C,0))))</f>
        <v>CN-JX</v>
      </c>
      <c r="U77" s="201"/>
      <c r="V77" s="226">
        <f>IF(C77="",NA(),IF(OR(C77="Smelter not listed",C77="Smelter not yet identified"),MATCH($B77&amp;$D77,'Smelter Look-up'!$J:$J,0),MATCH($B77&amp;$C77,'Smelter Look-up'!$J:$J,0)))</f>
        <v>583</v>
      </c>
      <c r="X77" s="227">
        <f t="shared" si="13"/>
        <v>0</v>
      </c>
      <c r="AB77" s="228" t="str">
        <f t="shared" si="14"/>
        <v>TungstenGanzhou Seadragon W &amp; Mo Co., Ltd.</v>
      </c>
    </row>
    <row r="78" spans="1:28" s="227" customFormat="1" ht="20.399999999999999">
      <c r="A78" s="181" t="s">
        <v>1425</v>
      </c>
      <c r="B78" s="182" t="s">
        <v>1128</v>
      </c>
      <c r="C78" s="186" t="s">
        <v>15126</v>
      </c>
      <c r="D78" s="230"/>
      <c r="E78" s="182" t="s">
        <v>888</v>
      </c>
      <c r="F78" s="182" t="s">
        <v>1425</v>
      </c>
      <c r="G78" s="182" t="s">
        <v>13240</v>
      </c>
      <c r="H78" s="183">
        <v>0</v>
      </c>
      <c r="I78" s="184" t="s">
        <v>1839</v>
      </c>
      <c r="J78" s="184" t="s">
        <v>12134</v>
      </c>
      <c r="K78" s="224"/>
      <c r="L78" s="224"/>
      <c r="M78" s="224"/>
      <c r="N78" s="224"/>
      <c r="O78" s="224"/>
      <c r="P78" s="185"/>
      <c r="Q78" s="225"/>
      <c r="R78" s="182" t="str">
        <f ca="1">IF(ISERROR($V78),"",OFFSET('Smelter Look-up'!$C$4,$V78-4,0)&amp;"")</f>
        <v>Masan High-Tech Materials</v>
      </c>
      <c r="S78" s="181" t="str">
        <f t="shared" ca="1" si="12"/>
        <v>VN</v>
      </c>
      <c r="T78" s="181" t="str">
        <f ca="1">IF(B78="","",IF(ISERROR(MATCH($J78,SorP!$B$1:$B$6279,0)),"",INDIRECT("'SorP'!$A$"&amp;MATCH($S78&amp;$J78,SorP!C:C,0))))</f>
        <v>VN-69</v>
      </c>
      <c r="U78" s="201"/>
      <c r="V78" s="226">
        <f>IF(C78="",NA(),IF(OR(C78="Smelter not listed",C78="Smelter not yet identified"),MATCH($B78&amp;$D78,'Smelter Look-up'!$J:$J,0),MATCH($B78&amp;$C78,'Smelter Look-up'!$J:$J,0)))</f>
        <v>616</v>
      </c>
      <c r="X78" s="227">
        <f t="shared" si="13"/>
        <v>0</v>
      </c>
      <c r="AB78" s="228" t="str">
        <f t="shared" si="14"/>
        <v>TungstenMasan High-Tech Materials</v>
      </c>
    </row>
    <row r="79" spans="1:28" s="227" customFormat="1" ht="25.2">
      <c r="A79" s="181" t="s">
        <v>792</v>
      </c>
      <c r="B79" s="182" t="s">
        <v>1128</v>
      </c>
      <c r="C79" s="186" t="s">
        <v>1</v>
      </c>
      <c r="D79" s="230"/>
      <c r="E79" s="182" t="s">
        <v>2432</v>
      </c>
      <c r="F79" s="182" t="s">
        <v>792</v>
      </c>
      <c r="G79" s="182" t="s">
        <v>13240</v>
      </c>
      <c r="H79" s="183">
        <v>0</v>
      </c>
      <c r="I79" s="184" t="s">
        <v>1826</v>
      </c>
      <c r="J79" s="184" t="s">
        <v>1737</v>
      </c>
      <c r="K79" s="224"/>
      <c r="L79" s="224"/>
      <c r="M79" s="224"/>
      <c r="N79" s="224"/>
      <c r="O79" s="224"/>
      <c r="P79" s="185"/>
      <c r="Q79" s="225"/>
      <c r="R79" s="182" t="str">
        <f ca="1">IF(ISERROR($V79),"",OFFSET('Smelter Look-up'!$C$4,$V79-4,0)&amp;"")</f>
        <v>Global Tungsten &amp; Powders Corp.</v>
      </c>
      <c r="S79" s="181" t="str">
        <f t="shared" ca="1" si="12"/>
        <v>US</v>
      </c>
      <c r="T79" s="181" t="str">
        <f ca="1">IF(B79="","",IF(ISERROR(MATCH($J79,SorP!$B$1:$B$6279,0)),"",INDIRECT("'SorP'!$A$"&amp;MATCH($S79&amp;$J79,SorP!C:C,0))))</f>
        <v>US-PA</v>
      </c>
      <c r="U79" s="201"/>
      <c r="V79" s="226">
        <f>IF(C79="",NA(),IF(OR(C79="Smelter not listed",C79="Smelter not yet identified"),MATCH($B79&amp;$D79,'Smelter Look-up'!$J:$J,0),MATCH($B79&amp;$C79,'Smelter Look-up'!$J:$J,0)))</f>
        <v>585</v>
      </c>
      <c r="X79" s="227">
        <f t="shared" si="13"/>
        <v>0</v>
      </c>
      <c r="AB79" s="228" t="str">
        <f t="shared" si="14"/>
        <v>TungstenGlobal Tungsten &amp; Powders Corp.</v>
      </c>
    </row>
    <row r="80" spans="1:28" s="227" customFormat="1" ht="20.399999999999999">
      <c r="A80" s="181" t="s">
        <v>1421</v>
      </c>
      <c r="B80" s="182" t="s">
        <v>1128</v>
      </c>
      <c r="C80" s="186" t="s">
        <v>2536</v>
      </c>
      <c r="D80" s="230"/>
      <c r="E80" s="182" t="s">
        <v>1097</v>
      </c>
      <c r="F80" s="182" t="s">
        <v>1421</v>
      </c>
      <c r="G80" s="182" t="s">
        <v>13240</v>
      </c>
      <c r="H80" s="183">
        <v>0</v>
      </c>
      <c r="I80" s="184" t="s">
        <v>1749</v>
      </c>
      <c r="J80" s="184" t="s">
        <v>4246</v>
      </c>
      <c r="K80" s="224"/>
      <c r="L80" s="224"/>
      <c r="M80" s="224"/>
      <c r="N80" s="224"/>
      <c r="O80" s="224"/>
      <c r="P80" s="185"/>
      <c r="Q80" s="225"/>
      <c r="R80" s="182" t="str">
        <f ca="1">IF(ISERROR($V80),"",OFFSET('Smelter Look-up'!$C$4,$V80-4,0)&amp;"")</f>
        <v>H.C. Starck Tungsten GmbH</v>
      </c>
      <c r="S80" s="181" t="str">
        <f t="shared" ca="1" si="12"/>
        <v>DE</v>
      </c>
      <c r="T80" s="181" t="str">
        <f ca="1">IF(B80="","",IF(ISERROR(MATCH($J80,SorP!$B$1:$B$6279,0)),"",INDIRECT("'SorP'!$A$"&amp;MATCH($S80&amp;$J80,SorP!C:C,0))))</f>
        <v>DE-NI</v>
      </c>
      <c r="U80" s="201"/>
      <c r="V80" s="226">
        <f>IF(C80="",NA(),IF(OR(C80="Smelter not listed",C80="Smelter not yet identified"),MATCH($B80&amp;$D80,'Smelter Look-up'!$J:$J,0),MATCH($B80&amp;$C80,'Smelter Look-up'!$J:$J,0)))</f>
        <v>589</v>
      </c>
      <c r="X80" s="227">
        <f t="shared" si="13"/>
        <v>0</v>
      </c>
      <c r="AB80" s="228" t="str">
        <f t="shared" si="14"/>
        <v>TungstenH.C. Starck Tungsten GmbH</v>
      </c>
    </row>
    <row r="81" spans="1:28" s="227" customFormat="1" ht="20.399999999999999">
      <c r="A81" s="181" t="s">
        <v>798</v>
      </c>
      <c r="B81" s="182" t="s">
        <v>1128</v>
      </c>
      <c r="C81" s="186" t="s">
        <v>2539</v>
      </c>
      <c r="D81" s="230"/>
      <c r="E81" s="182" t="s">
        <v>1090</v>
      </c>
      <c r="F81" s="182" t="s">
        <v>798</v>
      </c>
      <c r="G81" s="182" t="s">
        <v>13240</v>
      </c>
      <c r="H81" s="183">
        <v>0</v>
      </c>
      <c r="I81" s="184" t="s">
        <v>1829</v>
      </c>
      <c r="J81" s="184" t="s">
        <v>2810</v>
      </c>
      <c r="K81" s="224"/>
      <c r="L81" s="224"/>
      <c r="M81" s="224"/>
      <c r="N81" s="224"/>
      <c r="O81" s="224"/>
      <c r="P81" s="185"/>
      <c r="Q81" s="225"/>
      <c r="R81" s="182" t="str">
        <f ca="1">IF(ISERROR($V81),"",OFFSET('Smelter Look-up'!$C$4,$V81-4,0)&amp;"")</f>
        <v>Wolfram Bergbau und Hutten AG</v>
      </c>
      <c r="S81" s="181" t="str">
        <f t="shared" ca="1" si="12"/>
        <v>AT</v>
      </c>
      <c r="T81" s="181" t="str">
        <f ca="1">IF(B81="","",IF(ISERROR(MATCH($J81,SorP!$B$1:$B$6279,0)),"",INDIRECT("'SorP'!$A$"&amp;MATCH($S81&amp;$J81,SorP!C:C,0))))</f>
        <v>AT-6</v>
      </c>
      <c r="U81" s="201"/>
      <c r="V81" s="226">
        <f>IF(C81="",NA(),IF(OR(C81="Smelter not listed",C81="Smelter not yet identified"),MATCH($B81&amp;$D81,'Smelter Look-up'!$J:$J,0),MATCH($B81&amp;$C81,'Smelter Look-up'!$J:$J,0)))</f>
        <v>632</v>
      </c>
      <c r="X81" s="227">
        <f t="shared" si="13"/>
        <v>0</v>
      </c>
      <c r="AB81" s="228" t="str">
        <f t="shared" si="14"/>
        <v>TungstenWolfram Bergbau und Hutten AG</v>
      </c>
    </row>
    <row r="82" spans="1:28" s="227" customFormat="1" ht="20.399999999999999">
      <c r="A82" s="181" t="s">
        <v>141</v>
      </c>
      <c r="B82" s="182" t="s">
        <v>1128</v>
      </c>
      <c r="C82" s="186" t="s">
        <v>152</v>
      </c>
      <c r="D82" s="230"/>
      <c r="E82" s="182" t="s">
        <v>1096</v>
      </c>
      <c r="F82" s="182" t="s">
        <v>141</v>
      </c>
      <c r="G82" s="182" t="s">
        <v>13240</v>
      </c>
      <c r="H82" s="183">
        <v>0</v>
      </c>
      <c r="I82" s="184" t="s">
        <v>1773</v>
      </c>
      <c r="J82" s="184" t="s">
        <v>13619</v>
      </c>
      <c r="K82" s="224"/>
      <c r="L82" s="224"/>
      <c r="M82" s="224"/>
      <c r="N82" s="224"/>
      <c r="O82" s="224"/>
      <c r="P82" s="185"/>
      <c r="Q82" s="225"/>
      <c r="R82" s="182" t="str">
        <f ca="1">IF(ISERROR($V82),"",OFFSET('Smelter Look-up'!$C$4,$V82-4,0)&amp;"")</f>
        <v>Jiangxi Yaosheng Tungsten Co., Ltd.</v>
      </c>
      <c r="S82" s="181" t="str">
        <f t="shared" ca="1" si="12"/>
        <v>CN</v>
      </c>
      <c r="T82" s="181" t="str">
        <f ca="1">IF(B82="","",IF(ISERROR(MATCH($J82,SorP!$B$1:$B$6279,0)),"",INDIRECT("'SorP'!$A$"&amp;MATCH($S82&amp;$J82,SorP!C:C,0))))</f>
        <v>CN-JX</v>
      </c>
      <c r="U82" s="201"/>
      <c r="V82" s="226">
        <f>IF(C82="",NA(),IF(OR(C82="Smelter not listed",C82="Smelter not yet identified"),MATCH($B82&amp;$D82,'Smelter Look-up'!$J:$J,0),MATCH($B82&amp;$C82,'Smelter Look-up'!$J:$J,0)))</f>
        <v>608</v>
      </c>
      <c r="X82" s="227">
        <f t="shared" si="13"/>
        <v>0</v>
      </c>
      <c r="AB82" s="228" t="str">
        <f t="shared" si="14"/>
        <v>TungstenJiangxi Yaosheng Tungsten Co., Ltd.</v>
      </c>
    </row>
    <row r="83" spans="1:28" s="227" customFormat="1" ht="20.399999999999999">
      <c r="A83" s="181" t="s">
        <v>799</v>
      </c>
      <c r="B83" s="182" t="s">
        <v>1128</v>
      </c>
      <c r="C83" s="186" t="s">
        <v>1378</v>
      </c>
      <c r="D83" s="230"/>
      <c r="E83" s="182" t="s">
        <v>1096</v>
      </c>
      <c r="F83" s="182" t="s">
        <v>799</v>
      </c>
      <c r="G83" s="182" t="s">
        <v>13240</v>
      </c>
      <c r="H83" s="183">
        <v>0</v>
      </c>
      <c r="I83" s="184" t="s">
        <v>1832</v>
      </c>
      <c r="J83" s="184" t="s">
        <v>13618</v>
      </c>
      <c r="K83" s="224"/>
      <c r="L83" s="224"/>
      <c r="M83" s="224"/>
      <c r="N83" s="224"/>
      <c r="O83" s="224"/>
      <c r="P83" s="185"/>
      <c r="Q83" s="225"/>
      <c r="R83" s="182" t="str">
        <f ca="1">IF(ISERROR($V83),"",OFFSET('Smelter Look-up'!$C$4,$V83-4,0)&amp;"")</f>
        <v>Xiamen Tungsten Co., Ltd.</v>
      </c>
      <c r="S83" s="181" t="str">
        <f t="shared" ca="1" si="12"/>
        <v>CN</v>
      </c>
      <c r="T83" s="181" t="str">
        <f ca="1">IF(B83="","",IF(ISERROR(MATCH($J83,SorP!$B$1:$B$6279,0)),"",INDIRECT("'SorP'!$A$"&amp;MATCH($S83&amp;$J83,SorP!C:C,0))))</f>
        <v>CN-FJ</v>
      </c>
      <c r="U83" s="201"/>
      <c r="V83" s="226">
        <f>IF(C83="",NA(),IF(OR(C83="Smelter not listed",C83="Smelter not yet identified"),MATCH($B83&amp;$D83,'Smelter Look-up'!$J:$J,0),MATCH($B83&amp;$C83,'Smelter Look-up'!$J:$J,0)))</f>
        <v>636</v>
      </c>
      <c r="X83" s="227">
        <f t="shared" si="13"/>
        <v>0</v>
      </c>
      <c r="AB83" s="228" t="str">
        <f t="shared" si="14"/>
        <v>TungstenXiamen Tungsten Co., Ltd.</v>
      </c>
    </row>
    <row r="84" spans="1:28" s="227" customFormat="1" ht="20.399999999999999">
      <c r="A84" s="181" t="s">
        <v>1401</v>
      </c>
      <c r="B84" s="182" t="s">
        <v>1128</v>
      </c>
      <c r="C84" s="186" t="s">
        <v>1400</v>
      </c>
      <c r="D84" s="230"/>
      <c r="E84" s="182" t="s">
        <v>1096</v>
      </c>
      <c r="F84" s="182" t="s">
        <v>1401</v>
      </c>
      <c r="G84" s="182" t="s">
        <v>13240</v>
      </c>
      <c r="H84" s="183">
        <v>0</v>
      </c>
      <c r="I84" s="184" t="s">
        <v>1774</v>
      </c>
      <c r="J84" s="184" t="s">
        <v>13623</v>
      </c>
      <c r="K84" s="224"/>
      <c r="L84" s="224"/>
      <c r="M84" s="224"/>
      <c r="N84" s="224"/>
      <c r="O84" s="224"/>
      <c r="P84" s="185"/>
      <c r="Q84" s="225"/>
      <c r="R84" s="182" t="str">
        <f ca="1">IF(ISERROR($V84),"",OFFSET('Smelter Look-up'!$C$4,$V84-4,0)&amp;"")</f>
        <v>Hunan Shizhuyuan Nonferrous Metals Co., Ltd. Chenzhou Tungsten Products Branch</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569</v>
      </c>
      <c r="X84" s="227">
        <f t="shared" si="13"/>
        <v>0</v>
      </c>
      <c r="AB84" s="228" t="str">
        <f t="shared" si="14"/>
        <v>TungstenChenzhou Diamond Tungsten Products Co., Ltd.</v>
      </c>
    </row>
    <row r="85" spans="1:28" s="227" customFormat="1" ht="20.399999999999999">
      <c r="A85" s="181" t="s">
        <v>796</v>
      </c>
      <c r="B85" s="182" t="s">
        <v>1128</v>
      </c>
      <c r="C85" s="186" t="s">
        <v>149</v>
      </c>
      <c r="D85" s="230"/>
      <c r="E85" s="182" t="s">
        <v>1096</v>
      </c>
      <c r="F85" s="182" t="s">
        <v>796</v>
      </c>
      <c r="G85" s="182" t="s">
        <v>13240</v>
      </c>
      <c r="H85" s="183">
        <v>0</v>
      </c>
      <c r="I85" s="184" t="s">
        <v>1773</v>
      </c>
      <c r="J85" s="184" t="s">
        <v>13619</v>
      </c>
      <c r="K85" s="224"/>
      <c r="L85" s="224"/>
      <c r="M85" s="224"/>
      <c r="N85" s="224"/>
      <c r="O85" s="224"/>
      <c r="P85" s="185"/>
      <c r="Q85" s="225"/>
      <c r="R85" s="182" t="str">
        <f ca="1">IF(ISERROR($V85),"",OFFSET('Smelter Look-up'!$C$4,$V85-4,0)&amp;"")</f>
        <v>Ganzhou Huaxing Tungsten Products Co., Ltd.</v>
      </c>
      <c r="S85" s="181" t="str">
        <f t="shared" ca="1" si="12"/>
        <v>CN</v>
      </c>
      <c r="T85" s="181" t="str">
        <f ca="1">IF(B85="","",IF(ISERROR(MATCH($J85,SorP!$B$1:$B$6279,0)),"",INDIRECT("'SorP'!$A$"&amp;MATCH($S85&amp;$J85,SorP!C:C,0))))</f>
        <v>CN-JX</v>
      </c>
      <c r="U85" s="201"/>
      <c r="V85" s="226">
        <f>IF(C85="",NA(),IF(OR(C85="Smelter not listed",C85="Smelter not yet identified"),MATCH($B85&amp;$D85,'Smelter Look-up'!$J:$J,0),MATCH($B85&amp;$C85,'Smelter Look-up'!$J:$J,0)))</f>
        <v>581</v>
      </c>
      <c r="X85" s="227">
        <f t="shared" si="13"/>
        <v>0</v>
      </c>
      <c r="AB85" s="228" t="str">
        <f t="shared" si="14"/>
        <v>TungstenGanzhou Huaxing Tungsten Products Co., Ltd.</v>
      </c>
    </row>
    <row r="86" spans="1:28" s="227" customFormat="1" ht="20.399999999999999">
      <c r="A86" s="181" t="s">
        <v>138</v>
      </c>
      <c r="B86" s="182" t="s">
        <v>1128</v>
      </c>
      <c r="C86" s="186" t="s">
        <v>157</v>
      </c>
      <c r="D86" s="230"/>
      <c r="E86" s="182" t="s">
        <v>1096</v>
      </c>
      <c r="F86" s="182" t="s">
        <v>138</v>
      </c>
      <c r="G86" s="182" t="s">
        <v>13240</v>
      </c>
      <c r="H86" s="183">
        <v>0</v>
      </c>
      <c r="I86" s="184" t="s">
        <v>1837</v>
      </c>
      <c r="J86" s="184" t="s">
        <v>13619</v>
      </c>
      <c r="K86" s="224"/>
      <c r="L86" s="224"/>
      <c r="M86" s="224"/>
      <c r="N86" s="224"/>
      <c r="O86" s="224"/>
      <c r="P86" s="185"/>
      <c r="Q86" s="225"/>
      <c r="R86" s="182" t="str">
        <f ca="1">IF(ISERROR($V86),"",OFFSET('Smelter Look-up'!$C$4,$V86-4,0)&amp;"")</f>
        <v>Jiangxi Gan Bei Tungsten Co., Ltd.</v>
      </c>
      <c r="S86" s="181" t="str">
        <f t="shared" ca="1" si="12"/>
        <v>CN</v>
      </c>
      <c r="T86" s="181" t="str">
        <f ca="1">IF(B86="","",IF(ISERROR(MATCH($J86,SorP!$B$1:$B$6279,0)),"",INDIRECT("'SorP'!$A$"&amp;MATCH($S86&amp;$J86,SorP!C:C,0))))</f>
        <v>CN-JX</v>
      </c>
      <c r="U86" s="201"/>
      <c r="V86" s="226">
        <f>IF(C86="",NA(),IF(OR(C86="Smelter not listed",C86="Smelter not yet identified"),MATCH($B86&amp;$D86,'Smelter Look-up'!$J:$J,0),MATCH($B86&amp;$C86,'Smelter Look-up'!$J:$J,0)))</f>
        <v>602</v>
      </c>
      <c r="X86" s="227">
        <f t="shared" si="13"/>
        <v>0</v>
      </c>
      <c r="AB86" s="228" t="str">
        <f t="shared" si="14"/>
        <v>TungstenJiangxi Gan Bei Tungsten Co., Ltd.</v>
      </c>
    </row>
    <row r="87" spans="1:28" s="227" customFormat="1" ht="20.399999999999999">
      <c r="A87" s="181" t="s">
        <v>791</v>
      </c>
      <c r="B87" s="182" t="s">
        <v>1128</v>
      </c>
      <c r="C87" s="186" t="s">
        <v>1374</v>
      </c>
      <c r="D87" s="230"/>
      <c r="E87" s="182" t="s">
        <v>1096</v>
      </c>
      <c r="F87" s="182" t="s">
        <v>791</v>
      </c>
      <c r="G87" s="182" t="s">
        <v>13240</v>
      </c>
      <c r="H87" s="183">
        <v>0</v>
      </c>
      <c r="I87" s="184" t="s">
        <v>1773</v>
      </c>
      <c r="J87" s="184" t="s">
        <v>13619</v>
      </c>
      <c r="K87" s="224"/>
      <c r="L87" s="224"/>
      <c r="M87" s="224"/>
      <c r="N87" s="224"/>
      <c r="O87" s="224"/>
      <c r="P87" s="185"/>
      <c r="Q87" s="225"/>
      <c r="R87" s="182" t="str">
        <f ca="1">IF(ISERROR($V87),"",OFFSET('Smelter Look-up'!$C$4,$V87-4,0)&amp;"")</f>
        <v>Chongyi Zhangyuan Tungsten Co., Ltd.</v>
      </c>
      <c r="S87" s="181" t="str">
        <f t="shared" ca="1" si="12"/>
        <v>CN</v>
      </c>
      <c r="T87" s="181" t="str">
        <f ca="1">IF(B87="","",IF(ISERROR(MATCH($J87,SorP!$B$1:$B$6279,0)),"",INDIRECT("'SorP'!$A$"&amp;MATCH($S87&amp;$J87,SorP!C:C,0))))</f>
        <v>CN-JX</v>
      </c>
      <c r="U87" s="201"/>
      <c r="V87" s="226">
        <f>IF(C87="",NA(),IF(OR(C87="Smelter not listed",C87="Smelter not yet identified"),MATCH($B87&amp;$D87,'Smelter Look-up'!$J:$J,0),MATCH($B87&amp;$C87,'Smelter Look-up'!$J:$J,0)))</f>
        <v>573</v>
      </c>
      <c r="X87" s="227">
        <f t="shared" si="13"/>
        <v>0</v>
      </c>
      <c r="AB87" s="228" t="str">
        <f t="shared" si="14"/>
        <v>TungstenChongyi Zhangyuan Tungsten Co., Ltd.</v>
      </c>
    </row>
    <row r="88" spans="1:28" s="227" customFormat="1" ht="20.399999999999999">
      <c r="A88" s="181" t="s">
        <v>1422</v>
      </c>
      <c r="B88" s="182" t="s">
        <v>1128</v>
      </c>
      <c r="C88" s="186" t="s">
        <v>15082</v>
      </c>
      <c r="D88" s="230"/>
      <c r="E88" s="182" t="s">
        <v>1097</v>
      </c>
      <c r="F88" s="182" t="s">
        <v>1422</v>
      </c>
      <c r="G88" s="182" t="s">
        <v>13240</v>
      </c>
      <c r="H88" s="183">
        <v>0</v>
      </c>
      <c r="I88" s="184" t="s">
        <v>1750</v>
      </c>
      <c r="J88" s="184" t="s">
        <v>1543</v>
      </c>
      <c r="K88" s="224"/>
      <c r="L88" s="224"/>
      <c r="M88" s="224"/>
      <c r="N88" s="224"/>
      <c r="O88" s="224"/>
      <c r="P88" s="185"/>
      <c r="Q88" s="225"/>
      <c r="R88" s="182" t="str">
        <f ca="1">IF(ISERROR($V88),"",OFFSET('Smelter Look-up'!$C$4,$V88-4,0)&amp;"")</f>
        <v>TANIOBIS Smelting GmbH &amp; Co. KG</v>
      </c>
      <c r="S88" s="181" t="str">
        <f t="shared" ca="1" si="12"/>
        <v>DE</v>
      </c>
      <c r="T88" s="181" t="str">
        <f ca="1">IF(B88="","",IF(ISERROR(MATCH($J88,SorP!$B$1:$B$6279,0)),"",INDIRECT("'SorP'!$A$"&amp;MATCH($S88&amp;$J88,SorP!C:C,0))))</f>
        <v>DE-BW</v>
      </c>
      <c r="U88" s="201"/>
      <c r="V88" s="226">
        <f>IF(C88="",NA(),IF(OR(C88="Smelter not listed",C88="Smelter not yet identified"),MATCH($B88&amp;$D88,'Smelter Look-up'!$J:$J,0),MATCH($B88&amp;$C88,'Smelter Look-up'!$J:$J,0)))</f>
        <v>627</v>
      </c>
      <c r="X88" s="227">
        <f t="shared" si="13"/>
        <v>0</v>
      </c>
      <c r="AB88" s="228" t="str">
        <f t="shared" si="14"/>
        <v>TungstenTANIOBIS Smelting GmbH &amp; Co. KG</v>
      </c>
    </row>
    <row r="89" spans="1:28" s="227" customFormat="1" ht="20.399999999999999">
      <c r="A89" s="181" t="s">
        <v>1425</v>
      </c>
      <c r="B89" s="182" t="s">
        <v>1128</v>
      </c>
      <c r="C89" s="186" t="s">
        <v>15126</v>
      </c>
      <c r="D89" s="230"/>
      <c r="E89" s="182" t="s">
        <v>888</v>
      </c>
      <c r="F89" s="182" t="s">
        <v>1425</v>
      </c>
      <c r="G89" s="182" t="s">
        <v>13240</v>
      </c>
      <c r="H89" s="183">
        <v>0</v>
      </c>
      <c r="I89" s="184" t="s">
        <v>1839</v>
      </c>
      <c r="J89" s="184" t="s">
        <v>12134</v>
      </c>
      <c r="K89" s="224"/>
      <c r="L89" s="224"/>
      <c r="M89" s="224"/>
      <c r="N89" s="224"/>
      <c r="O89" s="224"/>
      <c r="P89" s="185"/>
      <c r="Q89" s="225"/>
      <c r="R89" s="182" t="str">
        <f ca="1">IF(ISERROR($V89),"",OFFSET('Smelter Look-up'!$C$4,$V89-4,0)&amp;"")</f>
        <v>Masan High-Tech Materials</v>
      </c>
      <c r="S89" s="181" t="str">
        <f t="shared" ca="1" si="12"/>
        <v>VN</v>
      </c>
      <c r="T89" s="181" t="str">
        <f ca="1">IF(B89="","",IF(ISERROR(MATCH($J89,SorP!$B$1:$B$6279,0)),"",INDIRECT("'SorP'!$A$"&amp;MATCH($S89&amp;$J89,SorP!C:C,0))))</f>
        <v>VN-69</v>
      </c>
      <c r="U89" s="201"/>
      <c r="V89" s="226">
        <f>IF(C89="",NA(),IF(OR(C89="Smelter not listed",C89="Smelter not yet identified"),MATCH($B89&amp;$D89,'Smelter Look-up'!$J:$J,0),MATCH($B89&amp;$C89,'Smelter Look-up'!$J:$J,0)))</f>
        <v>616</v>
      </c>
      <c r="X89" s="227">
        <f t="shared" si="13"/>
        <v>0</v>
      </c>
      <c r="AB89" s="228" t="str">
        <f t="shared" si="14"/>
        <v>TungstenMasan High-Tech Materials</v>
      </c>
    </row>
    <row r="90" spans="1:28" s="227" customFormat="1" ht="20.399999999999999">
      <c r="A90" s="181" t="s">
        <v>1424</v>
      </c>
      <c r="B90" s="182" t="s">
        <v>1128</v>
      </c>
      <c r="C90" s="186" t="s">
        <v>1423</v>
      </c>
      <c r="D90" s="230"/>
      <c r="E90" s="182" t="s">
        <v>1096</v>
      </c>
      <c r="F90" s="182" t="s">
        <v>1424</v>
      </c>
      <c r="G90" s="182" t="s">
        <v>13240</v>
      </c>
      <c r="H90" s="183">
        <v>0</v>
      </c>
      <c r="I90" s="184" t="s">
        <v>1773</v>
      </c>
      <c r="J90" s="184" t="s">
        <v>13619</v>
      </c>
      <c r="K90" s="224"/>
      <c r="L90" s="224"/>
      <c r="M90" s="224"/>
      <c r="N90" s="224"/>
      <c r="O90" s="224"/>
      <c r="P90" s="185"/>
      <c r="Q90" s="225"/>
      <c r="R90" s="182" t="str">
        <f ca="1">IF(ISERROR($V90),"",OFFSET('Smelter Look-up'!$C$4,$V90-4,0)&amp;"")</f>
        <v>Jiangwu H.C. Starck Tungsten Products Co., Ltd.</v>
      </c>
      <c r="S90" s="181" t="str">
        <f t="shared" ca="1" si="12"/>
        <v>CN</v>
      </c>
      <c r="T90" s="181" t="str">
        <f ca="1">IF(B90="","",IF(ISERROR(MATCH($J90,SorP!$B$1:$B$6279,0)),"",INDIRECT("'SorP'!$A$"&amp;MATCH($S90&amp;$J90,SorP!C:C,0))))</f>
        <v>CN-JX</v>
      </c>
      <c r="U90" s="201"/>
      <c r="V90" s="226">
        <f>IF(C90="",NA(),IF(OR(C90="Smelter not listed",C90="Smelter not yet identified"),MATCH($B90&amp;$D90,'Smelter Look-up'!$J:$J,0),MATCH($B90&amp;$C90,'Smelter Look-up'!$J:$J,0)))</f>
        <v>601</v>
      </c>
      <c r="X90" s="227">
        <f t="shared" si="13"/>
        <v>0</v>
      </c>
      <c r="AB90" s="228" t="str">
        <f t="shared" si="14"/>
        <v>TungstenJiangwu H.C. Starck Tungsten Products Co., Ltd.</v>
      </c>
    </row>
    <row r="91" spans="1:28" s="227" customFormat="1" ht="20.399999999999999">
      <c r="A91" s="181" t="s">
        <v>790</v>
      </c>
      <c r="B91" s="182" t="s">
        <v>1128</v>
      </c>
      <c r="C91" s="186" t="s">
        <v>1375</v>
      </c>
      <c r="D91" s="230"/>
      <c r="E91" s="182" t="s">
        <v>1096</v>
      </c>
      <c r="F91" s="182" t="s">
        <v>790</v>
      </c>
      <c r="G91" s="182" t="s">
        <v>13240</v>
      </c>
      <c r="H91" s="183">
        <v>0</v>
      </c>
      <c r="I91" s="184" t="s">
        <v>1824</v>
      </c>
      <c r="J91" s="184" t="s">
        <v>13624</v>
      </c>
      <c r="K91" s="224"/>
      <c r="L91" s="224"/>
      <c r="M91" s="224"/>
      <c r="N91" s="224"/>
      <c r="O91" s="224"/>
      <c r="P91" s="185"/>
      <c r="Q91" s="225"/>
      <c r="R91" s="182" t="str">
        <f ca="1">IF(ISERROR($V91),"",OFFSET('Smelter Look-up'!$C$4,$V91-4,0)&amp;"")</f>
        <v>Guangdong Xianglu Tungsten Co., Ltd.</v>
      </c>
      <c r="S91" s="181" t="str">
        <f t="shared" ca="1" si="12"/>
        <v>CN</v>
      </c>
      <c r="T91" s="181" t="str">
        <f ca="1">IF(B91="","",IF(ISERROR(MATCH($J91,SorP!$B$1:$B$6279,0)),"",INDIRECT("'SorP'!$A$"&amp;MATCH($S91&amp;$J91,SorP!C:C,0))))</f>
        <v>CN-GD</v>
      </c>
      <c r="U91" s="201"/>
      <c r="V91" s="226">
        <f>IF(C91="",NA(),IF(OR(C91="Smelter not listed",C91="Smelter not yet identified"),MATCH($B91&amp;$D91,'Smelter Look-up'!$J:$J,0),MATCH($B91&amp;$C91,'Smelter Look-up'!$J:$J,0)))</f>
        <v>587</v>
      </c>
      <c r="X91" s="227">
        <f t="shared" si="13"/>
        <v>0</v>
      </c>
      <c r="AB91" s="228" t="str">
        <f t="shared" si="14"/>
        <v>TungstenGuangdong Xianglu Tungsten Co., Ltd.</v>
      </c>
    </row>
    <row r="92" spans="1:28" s="227" customFormat="1" ht="20.399999999999999">
      <c r="A92" s="181" t="s">
        <v>799</v>
      </c>
      <c r="B92" s="182" t="s">
        <v>1128</v>
      </c>
      <c r="C92" s="186" t="s">
        <v>1378</v>
      </c>
      <c r="D92" s="230"/>
      <c r="E92" s="182" t="s">
        <v>1096</v>
      </c>
      <c r="F92" s="182" t="s">
        <v>799</v>
      </c>
      <c r="G92" s="182" t="s">
        <v>13240</v>
      </c>
      <c r="H92" s="183">
        <v>0</v>
      </c>
      <c r="I92" s="184" t="s">
        <v>1832</v>
      </c>
      <c r="J92" s="184" t="s">
        <v>13618</v>
      </c>
      <c r="K92" s="224"/>
      <c r="L92" s="224"/>
      <c r="M92" s="224"/>
      <c r="N92" s="224"/>
      <c r="O92" s="224"/>
      <c r="P92" s="185"/>
      <c r="Q92" s="225"/>
      <c r="R92" s="182" t="str">
        <f ca="1">IF(ISERROR($V92),"",OFFSET('Smelter Look-up'!$C$4,$V92-4,0)&amp;"")</f>
        <v>Xiamen Tungsten Co., Ltd.</v>
      </c>
      <c r="S92" s="181" t="str">
        <f t="shared" ca="1" si="12"/>
        <v>CN</v>
      </c>
      <c r="T92" s="181" t="str">
        <f ca="1">IF(B92="","",IF(ISERROR(MATCH($J92,SorP!$B$1:$B$6279,0)),"",INDIRECT("'SorP'!$A$"&amp;MATCH($S92&amp;$J92,SorP!C:C,0))))</f>
        <v>CN-FJ</v>
      </c>
      <c r="U92" s="201"/>
      <c r="V92" s="226">
        <f>IF(C92="",NA(),IF(OR(C92="Smelter not listed",C92="Smelter not yet identified"),MATCH($B92&amp;$D92,'Smelter Look-up'!$J:$J,0),MATCH($B92&amp;$C92,'Smelter Look-up'!$J:$J,0)))</f>
        <v>636</v>
      </c>
      <c r="X92" s="227">
        <f t="shared" si="13"/>
        <v>0</v>
      </c>
      <c r="AB92" s="228" t="str">
        <f t="shared" si="14"/>
        <v>TungstenXiamen Tungsten Co., Ltd.</v>
      </c>
    </row>
    <row r="93" spans="1:28" s="227" customFormat="1" ht="20.399999999999999">
      <c r="A93" s="181" t="s">
        <v>2267</v>
      </c>
      <c r="B93" s="182" t="s">
        <v>1128</v>
      </c>
      <c r="C93" s="186" t="s">
        <v>2266</v>
      </c>
      <c r="D93" s="230"/>
      <c r="E93" s="182" t="s">
        <v>1092</v>
      </c>
      <c r="F93" s="182" t="s">
        <v>2267</v>
      </c>
      <c r="G93" s="182" t="s">
        <v>13240</v>
      </c>
      <c r="H93" s="183">
        <v>0</v>
      </c>
      <c r="I93" s="184" t="s">
        <v>2268</v>
      </c>
      <c r="J93" s="184" t="s">
        <v>1674</v>
      </c>
      <c r="K93" s="224"/>
      <c r="L93" s="224"/>
      <c r="M93" s="224"/>
      <c r="N93" s="224"/>
      <c r="O93" s="224"/>
      <c r="P93" s="185"/>
      <c r="Q93" s="225"/>
      <c r="R93" s="182" t="str">
        <f ca="1">IF(ISERROR($V93),"",OFFSET('Smelter Look-up'!$C$4,$V93-4,0)&amp;"")</f>
        <v>ACL Metais Eireli</v>
      </c>
      <c r="S93" s="181" t="str">
        <f t="shared" ca="1" si="12"/>
        <v>BR</v>
      </c>
      <c r="T93" s="181" t="str">
        <f ca="1">IF(B93="","",IF(ISERROR(MATCH($J93,SorP!$B$1:$B$6279,0)),"",INDIRECT("'SorP'!$A$"&amp;MATCH($S93&amp;$J93,SorP!C:C,0))))</f>
        <v>BR-SP</v>
      </c>
      <c r="U93" s="201"/>
      <c r="V93" s="226">
        <f>IF(C93="",NA(),IF(OR(C93="Smelter not listed",C93="Smelter not yet identified"),MATCH($B93&amp;$D93,'Smelter Look-up'!$J:$J,0),MATCH($B93&amp;$C93,'Smelter Look-up'!$J:$J,0)))</f>
        <v>559</v>
      </c>
      <c r="X93" s="227">
        <f t="shared" si="13"/>
        <v>0</v>
      </c>
      <c r="AB93" s="228" t="str">
        <f t="shared" si="14"/>
        <v>TungstenACL Metais Eireli</v>
      </c>
    </row>
    <row r="94" spans="1:28" s="227" customFormat="1" ht="20.399999999999999">
      <c r="A94" s="181" t="s">
        <v>2535</v>
      </c>
      <c r="B94" s="182" t="s">
        <v>1128</v>
      </c>
      <c r="C94" s="186" t="s">
        <v>12937</v>
      </c>
      <c r="D94" s="230"/>
      <c r="E94" s="182" t="s">
        <v>1096</v>
      </c>
      <c r="F94" s="182" t="s">
        <v>2535</v>
      </c>
      <c r="G94" s="182" t="s">
        <v>13240</v>
      </c>
      <c r="H94" s="183">
        <v>0</v>
      </c>
      <c r="I94" s="184" t="s">
        <v>1773</v>
      </c>
      <c r="J94" s="184" t="s">
        <v>13619</v>
      </c>
      <c r="K94" s="224"/>
      <c r="L94" s="224"/>
      <c r="M94" s="224"/>
      <c r="N94" s="224"/>
      <c r="O94" s="224"/>
      <c r="P94" s="185"/>
      <c r="Q94" s="225"/>
      <c r="R94" s="182" t="str">
        <f ca="1">IF(ISERROR($V94),"",OFFSET('Smelter Look-up'!$C$4,$V94-4,0)&amp;"")</f>
        <v>Ganzhou Haichuang Tungsten Co., Ltd.</v>
      </c>
      <c r="S94" s="181" t="str">
        <f t="shared" ca="1" si="12"/>
        <v>CN</v>
      </c>
      <c r="T94" s="181" t="str">
        <f ca="1">IF(B94="","",IF(ISERROR(MATCH($J94,SorP!$B$1:$B$6279,0)),"",INDIRECT("'SorP'!$A$"&amp;MATCH($S94&amp;$J94,SorP!C:C,0))))</f>
        <v>CN-JX</v>
      </c>
      <c r="U94" s="201"/>
      <c r="V94" s="226">
        <f>IF(C94="",NA(),IF(OR(C94="Smelter not listed",C94="Smelter not yet identified"),MATCH($B94&amp;$D94,'Smelter Look-up'!$J:$J,0),MATCH($B94&amp;$C94,'Smelter Look-up'!$J:$J,0)))</f>
        <v>580</v>
      </c>
      <c r="X94" s="227">
        <f t="shared" si="13"/>
        <v>0</v>
      </c>
      <c r="AB94" s="228" t="str">
        <f t="shared" si="14"/>
        <v>TungstenGanzhou Haichuang Tungsten Co., Ltd.</v>
      </c>
    </row>
    <row r="95" spans="1:28" s="227" customFormat="1" ht="20.399999999999999">
      <c r="A95" s="181" t="s">
        <v>746</v>
      </c>
      <c r="B95" s="182" t="s">
        <v>1127</v>
      </c>
      <c r="C95" s="186" t="s">
        <v>45</v>
      </c>
      <c r="D95" s="230"/>
      <c r="E95" s="182" t="s">
        <v>1096</v>
      </c>
      <c r="F95" s="182" t="s">
        <v>746</v>
      </c>
      <c r="G95" s="182" t="s">
        <v>13240</v>
      </c>
      <c r="H95" s="183">
        <v>0</v>
      </c>
      <c r="I95" s="184" t="s">
        <v>1717</v>
      </c>
      <c r="J95" s="184" t="s">
        <v>13624</v>
      </c>
      <c r="K95" s="224"/>
      <c r="L95" s="224"/>
      <c r="M95" s="224"/>
      <c r="N95" s="224"/>
      <c r="O95" s="224"/>
      <c r="P95" s="185"/>
      <c r="Q95" s="225"/>
      <c r="R95" s="182" t="str">
        <f ca="1">IF(ISERROR($V95),"",OFFSET('Smelter Look-up'!$C$4,$V95-4,0)&amp;"")</f>
        <v>F&amp;X Electro-Materials Ltd.</v>
      </c>
      <c r="S95" s="181" t="str">
        <f t="shared" ca="1" si="12"/>
        <v>CN</v>
      </c>
      <c r="T95" s="181" t="str">
        <f ca="1">IF(B95="","",IF(ISERROR(MATCH($J95,SorP!$B$1:$B$6279,0)),"",INDIRECT("'SorP'!$A$"&amp;MATCH($S95&amp;$J95,SorP!C:C,0))))</f>
        <v>CN-GD</v>
      </c>
      <c r="U95" s="201"/>
      <c r="V95" s="226">
        <f>IF(C95="",NA(),IF(OR(C95="Smelter not listed",C95="Smelter not yet identified"),MATCH($B95&amp;$D95,'Smelter Look-up'!$J:$J,0),MATCH($B95&amp;$C95,'Smelter Look-up'!$J:$J,0)))</f>
        <v>328</v>
      </c>
      <c r="X95" s="227">
        <f t="shared" si="13"/>
        <v>0</v>
      </c>
      <c r="AB95" s="228" t="str">
        <f t="shared" si="14"/>
        <v>TantalumF&amp;X Electro-Materials Ltd.</v>
      </c>
    </row>
    <row r="96" spans="1:28" s="227" customFormat="1" ht="20.399999999999999">
      <c r="A96" s="181" t="s">
        <v>749</v>
      </c>
      <c r="B96" s="182" t="s">
        <v>1127</v>
      </c>
      <c r="C96" s="186" t="s">
        <v>4</v>
      </c>
      <c r="D96" s="230"/>
      <c r="E96" s="182" t="s">
        <v>1096</v>
      </c>
      <c r="F96" s="182" t="s">
        <v>749</v>
      </c>
      <c r="G96" s="182" t="s">
        <v>13240</v>
      </c>
      <c r="H96" s="183">
        <v>0</v>
      </c>
      <c r="I96" s="184" t="s">
        <v>1720</v>
      </c>
      <c r="J96" s="184" t="s">
        <v>13619</v>
      </c>
      <c r="K96" s="224"/>
      <c r="L96" s="224"/>
      <c r="M96" s="224"/>
      <c r="N96" s="224"/>
      <c r="O96" s="224"/>
      <c r="P96" s="185"/>
      <c r="Q96" s="225"/>
      <c r="R96" s="182" t="str">
        <f ca="1">IF(ISERROR($V96),"",OFFSET('Smelter Look-up'!$C$4,$V96-4,0)&amp;"")</f>
        <v>JiuJiang JinXin Nonferrous Metals Co., Ltd.</v>
      </c>
      <c r="S96" s="181" t="str">
        <f t="shared" ca="1" si="12"/>
        <v>CN</v>
      </c>
      <c r="T96" s="181" t="str">
        <f ca="1">IF(B96="","",IF(ISERROR(MATCH($J96,SorP!$B$1:$B$6279,0)),"",INDIRECT("'SorP'!$A$"&amp;MATCH($S96&amp;$J96,SorP!C:C,0))))</f>
        <v>CN-JX</v>
      </c>
      <c r="U96" s="201"/>
      <c r="V96" s="226">
        <f>IF(C96="",NA(),IF(OR(C96="Smelter not listed",C96="Smelter not yet identified"),MATCH($B96&amp;$D96,'Smelter Look-up'!$J:$J,0),MATCH($B96&amp;$C96,'Smelter Look-up'!$J:$J,0)))</f>
        <v>341</v>
      </c>
      <c r="X96" s="227">
        <f t="shared" si="13"/>
        <v>0</v>
      </c>
      <c r="AB96" s="228" t="str">
        <f t="shared" si="14"/>
        <v>TantalumJiuJiang JinXin Nonferrous Metals Co., Ltd.</v>
      </c>
    </row>
    <row r="97" spans="1:28" s="227" customFormat="1" ht="20.399999999999999">
      <c r="A97" s="181" t="s">
        <v>748</v>
      </c>
      <c r="B97" s="182" t="s">
        <v>1127</v>
      </c>
      <c r="C97" s="186" t="s">
        <v>15079</v>
      </c>
      <c r="D97" s="230"/>
      <c r="E97" s="182" t="s">
        <v>1096</v>
      </c>
      <c r="F97" s="182" t="s">
        <v>748</v>
      </c>
      <c r="G97" s="182" t="s">
        <v>13240</v>
      </c>
      <c r="H97" s="183">
        <v>0</v>
      </c>
      <c r="I97" s="184" t="s">
        <v>1719</v>
      </c>
      <c r="J97" s="184" t="s">
        <v>13624</v>
      </c>
      <c r="K97" s="224"/>
      <c r="L97" s="224"/>
      <c r="M97" s="224"/>
      <c r="N97" s="224"/>
      <c r="O97" s="224"/>
      <c r="P97" s="185"/>
      <c r="Q97" s="225"/>
      <c r="R97" s="182" t="str">
        <f ca="1">IF(ISERROR($V97),"",OFFSET('Smelter Look-up'!$C$4,$V97-4,0)&amp;"")</f>
        <v>XIMEI RESOURCES (GUANGDONG) LIMITED</v>
      </c>
      <c r="S97" s="181" t="str">
        <f t="shared" ca="1" si="12"/>
        <v>CN</v>
      </c>
      <c r="T97" s="181" t="str">
        <f ca="1">IF(B97="","",IF(ISERROR(MATCH($J97,SorP!$B$1:$B$6279,0)),"",INDIRECT("'SorP'!$A$"&amp;MATCH($S97&amp;$J97,SorP!C:C,0))))</f>
        <v>CN-GD</v>
      </c>
      <c r="U97" s="201"/>
      <c r="V97" s="226">
        <f>IF(C97="",NA(),IF(OR(C97="Smelter not listed",C97="Smelter not yet identified"),MATCH($B97&amp;$D97,'Smelter Look-up'!$J:$J,0),MATCH($B97&amp;$C97,'Smelter Look-up'!$J:$J,0)))</f>
        <v>380</v>
      </c>
      <c r="X97" s="227">
        <f t="shared" si="13"/>
        <v>0</v>
      </c>
      <c r="AB97" s="228" t="str">
        <f t="shared" si="14"/>
        <v>TantalumXIMEI RESOURCES (GUANGDONG) LIMITED</v>
      </c>
    </row>
    <row r="98" spans="1:28" s="227" customFormat="1" ht="20.399999999999999">
      <c r="A98" s="181" t="s">
        <v>1393</v>
      </c>
      <c r="B98" s="182" t="s">
        <v>1127</v>
      </c>
      <c r="C98" s="186" t="s">
        <v>2172</v>
      </c>
      <c r="D98" s="230"/>
      <c r="E98" s="182" t="s">
        <v>1096</v>
      </c>
      <c r="F98" s="182" t="s">
        <v>1393</v>
      </c>
      <c r="G98" s="182" t="s">
        <v>13240</v>
      </c>
      <c r="H98" s="183">
        <v>0</v>
      </c>
      <c r="I98" s="184" t="s">
        <v>1744</v>
      </c>
      <c r="J98" s="184" t="s">
        <v>13619</v>
      </c>
      <c r="K98" s="224"/>
      <c r="L98" s="224"/>
      <c r="M98" s="224"/>
      <c r="N98" s="224"/>
      <c r="O98" s="224"/>
      <c r="P98" s="185"/>
      <c r="Q98" s="225"/>
      <c r="R98" s="182" t="str">
        <f ca="1">IF(ISERROR($V98),"",OFFSET('Smelter Look-up'!$C$4,$V98-4,0)&amp;"")</f>
        <v>Jiangxi Dinghai Tantalum &amp; Niobium Co., Ltd.</v>
      </c>
      <c r="S98" s="181" t="str">
        <f t="shared" ca="1" si="12"/>
        <v>CN</v>
      </c>
      <c r="T98" s="181" t="str">
        <f ca="1">IF(B98="","",IF(ISERROR(MATCH($J98,SorP!$B$1:$B$6279,0)),"",INDIRECT("'SorP'!$A$"&amp;MATCH($S98&amp;$J98,SorP!C:C,0))))</f>
        <v>CN-JX</v>
      </c>
      <c r="U98" s="201"/>
      <c r="V98" s="226">
        <f>IF(C98="",NA(),IF(OR(C98="Smelter not listed",C98="Smelter not yet identified"),MATCH($B98&amp;$D98,'Smelter Look-up'!$J:$J,0),MATCH($B98&amp;$C98,'Smelter Look-up'!$J:$J,0)))</f>
        <v>339</v>
      </c>
      <c r="X98" s="227">
        <f t="shared" si="13"/>
        <v>0</v>
      </c>
      <c r="AB98" s="228" t="str">
        <f t="shared" si="14"/>
        <v>TantalumJiangxi Dinghai Tantalum &amp; Niobium Co., Ltd.</v>
      </c>
    </row>
    <row r="99" spans="1:28" s="227" customFormat="1" ht="20.399999999999999">
      <c r="A99" s="181" t="s">
        <v>762</v>
      </c>
      <c r="B99" s="182" t="s">
        <v>1127</v>
      </c>
      <c r="C99" s="186" t="s">
        <v>1738</v>
      </c>
      <c r="D99" s="230"/>
      <c r="E99" s="182" t="s">
        <v>1105</v>
      </c>
      <c r="F99" s="182" t="s">
        <v>762</v>
      </c>
      <c r="G99" s="182" t="s">
        <v>13240</v>
      </c>
      <c r="H99" s="183">
        <v>0</v>
      </c>
      <c r="I99" s="184" t="s">
        <v>1606</v>
      </c>
      <c r="J99" s="184" t="s">
        <v>7058</v>
      </c>
      <c r="K99" s="224"/>
      <c r="L99" s="224"/>
      <c r="M99" s="224"/>
      <c r="N99" s="224"/>
      <c r="O99" s="224"/>
      <c r="P99" s="185"/>
      <c r="Q99" s="225"/>
      <c r="R99" s="182" t="str">
        <f ca="1">IF(ISERROR($V99),"",OFFSET('Smelter Look-up'!$C$4,$V99-4,0)&amp;"")</f>
        <v>Ulba Metallurgical Plant JSC</v>
      </c>
      <c r="S99" s="181" t="str">
        <f t="shared" ca="1" si="12"/>
        <v>KZ</v>
      </c>
      <c r="T99" s="181" t="str">
        <f ca="1">IF(B99="","",IF(ISERROR(MATCH($J99,SorP!$B$1:$B$6279,0)),"",INDIRECT("'SorP'!$A$"&amp;MATCH($S99&amp;$J99,SorP!C:C,0))))</f>
        <v>KZ-KAR</v>
      </c>
      <c r="U99" s="201"/>
      <c r="V99" s="226">
        <f>IF(C99="",NA(),IF(OR(C99="Smelter not listed",C99="Smelter not yet identified"),MATCH($B99&amp;$D99,'Smelter Look-up'!$J:$J,0),MATCH($B99&amp;$C99,'Smelter Look-up'!$J:$J,0)))</f>
        <v>379</v>
      </c>
      <c r="X99" s="227">
        <f t="shared" si="13"/>
        <v>0</v>
      </c>
      <c r="AB99" s="228" t="str">
        <f t="shared" si="14"/>
        <v>TantalumUlba Metallurgical Plant JSC</v>
      </c>
    </row>
    <row r="100" spans="1:28" s="227" customFormat="1" ht="20.399999999999999">
      <c r="A100" s="181" t="s">
        <v>15806</v>
      </c>
      <c r="B100" s="182" t="s">
        <v>1127</v>
      </c>
      <c r="C100" s="186" t="s">
        <v>15807</v>
      </c>
      <c r="D100" s="230"/>
      <c r="E100" s="182" t="s">
        <v>1097</v>
      </c>
      <c r="F100" s="182" t="s">
        <v>15806</v>
      </c>
      <c r="G100" s="182" t="s">
        <v>13240</v>
      </c>
      <c r="H100" s="183">
        <v>0</v>
      </c>
      <c r="I100" s="184" t="s">
        <v>15808</v>
      </c>
      <c r="J100" s="184" t="s">
        <v>4224</v>
      </c>
      <c r="K100" s="224"/>
      <c r="L100" s="224"/>
      <c r="M100" s="224"/>
      <c r="N100" s="224"/>
      <c r="O100" s="224"/>
      <c r="P100" s="185"/>
      <c r="Q100" s="225"/>
      <c r="R100" s="182" t="str">
        <f ca="1">IF(ISERROR($V100),"",OFFSET('Smelter Look-up'!$C$4,$V100-4,0)&amp;"")</f>
        <v/>
      </c>
      <c r="S100" s="181" t="str">
        <f t="shared" ca="1" si="12"/>
        <v>DE</v>
      </c>
      <c r="T100" s="181" t="str">
        <f ca="1">IF(B100="","",IF(ISERROR(MATCH($J100,SorP!$B$1:$B$6279,0)),"",INDIRECT("'SorP'!$A$"&amp;MATCH($S100&amp;$J100,SorP!C:C,0))))</f>
        <v>DE-TH</v>
      </c>
      <c r="U100" s="201"/>
      <c r="V100" s="226" t="e">
        <f>IF(C100="",NA(),IF(OR(C100="Smelter not listed",C100="Smelter not yet identified"),MATCH($B100&amp;$D100,'Smelter Look-up'!$J:$J,0),MATCH($B100&amp;$C100,'Smelter Look-up'!$J:$J,0)))</f>
        <v>#N/A</v>
      </c>
      <c r="X100" s="227">
        <f t="shared" si="13"/>
        <v>0</v>
      </c>
      <c r="AB100" s="228" t="str">
        <f t="shared" si="14"/>
        <v>TantalumH.C. Starck Hermsdorf GmbH</v>
      </c>
    </row>
    <row r="101" spans="1:28" s="227" customFormat="1" ht="25.2">
      <c r="A101" s="181" t="s">
        <v>792</v>
      </c>
      <c r="B101" s="182" t="s">
        <v>1128</v>
      </c>
      <c r="C101" s="186" t="s">
        <v>1</v>
      </c>
      <c r="D101" s="230"/>
      <c r="E101" s="182" t="s">
        <v>2432</v>
      </c>
      <c r="F101" s="182" t="s">
        <v>792</v>
      </c>
      <c r="G101" s="182" t="s">
        <v>13240</v>
      </c>
      <c r="H101" s="183">
        <v>0</v>
      </c>
      <c r="I101" s="184" t="s">
        <v>1826</v>
      </c>
      <c r="J101" s="184" t="s">
        <v>1737</v>
      </c>
      <c r="K101" s="224"/>
      <c r="L101" s="224"/>
      <c r="M101" s="224"/>
      <c r="N101" s="224"/>
      <c r="O101" s="224"/>
      <c r="P101" s="185"/>
      <c r="Q101" s="225"/>
      <c r="R101" s="182" t="str">
        <f ca="1">IF(ISERROR($V101),"",OFFSET('Smelter Look-up'!$C$4,$V101-4,0)&amp;"")</f>
        <v>Global Tungsten &amp; Powders Corp.</v>
      </c>
      <c r="S101" s="181" t="str">
        <f t="shared" ca="1" si="12"/>
        <v>US</v>
      </c>
      <c r="T101" s="181" t="str">
        <f ca="1">IF(B101="","",IF(ISERROR(MATCH($J101,SorP!$B$1:$B$6279,0)),"",INDIRECT("'SorP'!$A$"&amp;MATCH($S101&amp;$J101,SorP!C:C,0))))</f>
        <v>US-PA</v>
      </c>
      <c r="U101" s="201"/>
      <c r="V101" s="226">
        <f>IF(C101="",NA(),IF(OR(C101="Smelter not listed",C101="Smelter not yet identified"),MATCH($B101&amp;$D101,'Smelter Look-up'!$J:$J,0),MATCH($B101&amp;$C101,'Smelter Look-up'!$J:$J,0)))</f>
        <v>585</v>
      </c>
      <c r="X101" s="227">
        <f t="shared" si="13"/>
        <v>0</v>
      </c>
      <c r="AB101" s="228" t="str">
        <f t="shared" si="14"/>
        <v>TungstenGlobal Tungsten &amp; Powders Corp.</v>
      </c>
    </row>
    <row r="102" spans="1:28" s="227" customFormat="1" ht="20.399999999999999">
      <c r="A102" s="181" t="s">
        <v>13812</v>
      </c>
      <c r="B102" s="182" t="s">
        <v>1128</v>
      </c>
      <c r="C102" s="186" t="s">
        <v>15123</v>
      </c>
      <c r="D102" s="230"/>
      <c r="E102" s="182" t="s">
        <v>1096</v>
      </c>
      <c r="F102" s="182" t="s">
        <v>13812</v>
      </c>
      <c r="G102" s="182" t="s">
        <v>13240</v>
      </c>
      <c r="H102" s="183">
        <v>0</v>
      </c>
      <c r="I102" s="184" t="s">
        <v>1615</v>
      </c>
      <c r="J102" s="184" t="s">
        <v>13621</v>
      </c>
      <c r="K102" s="224"/>
      <c r="L102" s="224"/>
      <c r="M102" s="224"/>
      <c r="N102" s="224"/>
      <c r="O102" s="224"/>
      <c r="P102" s="185"/>
      <c r="Q102" s="225"/>
      <c r="R102" s="182" t="str">
        <f ca="1">IF(ISERROR($V102),"",OFFSET('Smelter Look-up'!$C$4,$V102-4,0)&amp;"")</f>
        <v>China Molybdenum Tungsten Co., Ltd.</v>
      </c>
      <c r="S102" s="181" t="str">
        <f t="shared" ref="S102:S132" ca="1" si="15">IF(B102="","",IF(ISERROR(MATCH($E102,CL,0)),"Unknown",INDIRECT("'C'!$A$"&amp;MATCH($E102,CL,0)+1)))</f>
        <v>CN</v>
      </c>
      <c r="T102" s="181" t="str">
        <f ca="1">IF(B102="","",IF(ISERROR(MATCH($J102,SorP!$B$1:$B$6279,0)),"",INDIRECT("'SorP'!$A$"&amp;MATCH($S102&amp;$J102,SorP!C:C,0))))</f>
        <v>CN-HA</v>
      </c>
      <c r="U102" s="201"/>
      <c r="V102" s="226">
        <f>IF(C102="",NA(),IF(OR(C102="Smelter not listed",C102="Smelter not yet identified"),MATCH($B102&amp;$D102,'Smelter Look-up'!$J:$J,0),MATCH($B102&amp;$C102,'Smelter Look-up'!$J:$J,0)))</f>
        <v>571</v>
      </c>
      <c r="X102" s="227">
        <f t="shared" ref="X102:X132" si="16">IF(AND(C102="Smelter not listed",OR(LEN(D102)=0,LEN(E102)=0)),1,0)</f>
        <v>0</v>
      </c>
      <c r="AB102" s="228" t="str">
        <f t="shared" ref="AB102:AB132" si="17">B102&amp;C102</f>
        <v>TungstenChina Molybdenum Tungsten Co., Ltd.</v>
      </c>
    </row>
    <row r="103" spans="1:28" s="227" customFormat="1" ht="20.399999999999999">
      <c r="A103" s="181" t="s">
        <v>793</v>
      </c>
      <c r="B103" s="182" t="s">
        <v>1128</v>
      </c>
      <c r="C103" s="186" t="s">
        <v>2213</v>
      </c>
      <c r="D103" s="230"/>
      <c r="E103" s="182" t="s">
        <v>1096</v>
      </c>
      <c r="F103" s="182" t="s">
        <v>793</v>
      </c>
      <c r="G103" s="182" t="s">
        <v>13240</v>
      </c>
      <c r="H103" s="183">
        <v>0</v>
      </c>
      <c r="I103" s="184" t="s">
        <v>2134</v>
      </c>
      <c r="J103" s="184" t="s">
        <v>13623</v>
      </c>
      <c r="K103" s="224"/>
      <c r="L103" s="224"/>
      <c r="M103" s="224"/>
      <c r="N103" s="224"/>
      <c r="O103" s="224"/>
      <c r="P103" s="185"/>
      <c r="Q103" s="225"/>
      <c r="R103" s="182" t="str">
        <f ca="1">IF(ISERROR($V103),"",OFFSET('Smelter Look-up'!$C$4,$V103-4,0)&amp;"")</f>
        <v>Hunan Chenzhou Mining Co., Ltd.</v>
      </c>
      <c r="S103" s="181" t="str">
        <f t="shared" ca="1" si="15"/>
        <v>CN</v>
      </c>
      <c r="T103" s="181" t="str">
        <f ca="1">IF(B103="","",IF(ISERROR(MATCH($J103,SorP!$B$1:$B$6279,0)),"",INDIRECT("'SorP'!$A$"&amp;MATCH($S103&amp;$J103,SorP!C:C,0))))</f>
        <v>CN-HN</v>
      </c>
      <c r="U103" s="201"/>
      <c r="V103" s="226">
        <f>IF(C103="",NA(),IF(OR(C103="Smelter not listed",C103="Smelter not yet identified"),MATCH($B103&amp;$D103,'Smelter Look-up'!$J:$J,0),MATCH($B103&amp;$C103,'Smelter Look-up'!$J:$J,0)))</f>
        <v>594</v>
      </c>
      <c r="X103" s="227">
        <f t="shared" si="16"/>
        <v>0</v>
      </c>
      <c r="AB103" s="228" t="str">
        <f t="shared" si="17"/>
        <v>TungstenHunan Chenzhou Mining Co., Ltd.</v>
      </c>
    </row>
    <row r="104" spans="1:28" s="227" customFormat="1" ht="20.399999999999999">
      <c r="A104" s="181" t="s">
        <v>2270</v>
      </c>
      <c r="B104" s="182" t="s">
        <v>1127</v>
      </c>
      <c r="C104" s="186" t="s">
        <v>2269</v>
      </c>
      <c r="D104" s="230"/>
      <c r="E104" s="182" t="s">
        <v>1096</v>
      </c>
      <c r="F104" s="182" t="s">
        <v>2270</v>
      </c>
      <c r="G104" s="182" t="s">
        <v>13240</v>
      </c>
      <c r="H104" s="183">
        <v>0</v>
      </c>
      <c r="I104" s="184" t="s">
        <v>1739</v>
      </c>
      <c r="J104" s="184" t="s">
        <v>13619</v>
      </c>
      <c r="K104" s="224"/>
      <c r="L104" s="224"/>
      <c r="M104" s="224"/>
      <c r="N104" s="224"/>
      <c r="O104" s="224"/>
      <c r="P104" s="185"/>
      <c r="Q104" s="225"/>
      <c r="R104" s="182" t="str">
        <f ca="1">IF(ISERROR($V104),"",OFFSET('Smelter Look-up'!$C$4,$V104-4,0)&amp;"")</f>
        <v>Jiangxi Tuohong New Raw Material</v>
      </c>
      <c r="S104" s="181" t="str">
        <f t="shared" ca="1" si="15"/>
        <v>CN</v>
      </c>
      <c r="T104" s="181" t="str">
        <f ca="1">IF(B104="","",IF(ISERROR(MATCH($J104,SorP!$B$1:$B$6279,0)),"",INDIRECT("'SorP'!$A$"&amp;MATCH($S104&amp;$J104,SorP!C:C,0))))</f>
        <v>CN-JX</v>
      </c>
      <c r="U104" s="201"/>
      <c r="V104" s="226">
        <f>IF(C104="",NA(),IF(OR(C104="Smelter not listed",C104="Smelter not yet identified"),MATCH($B104&amp;$D104,'Smelter Look-up'!$J:$J,0),MATCH($B104&amp;$C104,'Smelter Look-up'!$J:$J,0)))</f>
        <v>340</v>
      </c>
      <c r="X104" s="227">
        <f t="shared" si="16"/>
        <v>0</v>
      </c>
      <c r="AB104" s="228" t="str">
        <f t="shared" si="17"/>
        <v>TantalumJiangxi Tuohong New Raw Material</v>
      </c>
    </row>
    <row r="105" spans="1:28" s="227" customFormat="1" ht="20.399999999999999">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20.399999999999999">
      <c r="A106" s="181" t="s">
        <v>1401</v>
      </c>
      <c r="B106" s="182" t="s">
        <v>1128</v>
      </c>
      <c r="C106" s="186" t="s">
        <v>1400</v>
      </c>
      <c r="D106" s="230"/>
      <c r="E106" s="182" t="s">
        <v>1096</v>
      </c>
      <c r="F106" s="182" t="s">
        <v>1401</v>
      </c>
      <c r="G106" s="182" t="s">
        <v>13240</v>
      </c>
      <c r="H106" s="183">
        <v>0</v>
      </c>
      <c r="I106" s="184" t="s">
        <v>1774</v>
      </c>
      <c r="J106" s="184" t="s">
        <v>13623</v>
      </c>
      <c r="K106" s="224"/>
      <c r="L106" s="224"/>
      <c r="M106" s="224"/>
      <c r="N106" s="224"/>
      <c r="O106" s="224"/>
      <c r="P106" s="185"/>
      <c r="Q106" s="225"/>
      <c r="R106" s="182" t="str">
        <f ca="1">IF(ISERROR($V106),"",OFFSET('Smelter Look-up'!$C$4,$V106-4,0)&amp;"")</f>
        <v>Hunan Shizhuyuan Nonferrous Metals Co., Ltd. Chenzhou Tungsten Products Branch</v>
      </c>
      <c r="S106" s="181" t="str">
        <f t="shared" ca="1" si="15"/>
        <v>CN</v>
      </c>
      <c r="T106" s="181" t="str">
        <f ca="1">IF(B106="","",IF(ISERROR(MATCH($J106,SorP!$B$1:$B$6279,0)),"",INDIRECT("'SorP'!$A$"&amp;MATCH($S106&amp;$J106,SorP!C:C,0))))</f>
        <v>CN-HN</v>
      </c>
      <c r="U106" s="201"/>
      <c r="V106" s="226">
        <f>IF(C106="",NA(),IF(OR(C106="Smelter not listed",C106="Smelter not yet identified"),MATCH($B106&amp;$D106,'Smelter Look-up'!$J:$J,0),MATCH($B106&amp;$C106,'Smelter Look-up'!$J:$J,0)))</f>
        <v>569</v>
      </c>
      <c r="X106" s="227">
        <f t="shared" si="16"/>
        <v>0</v>
      </c>
      <c r="AB106" s="228" t="str">
        <f t="shared" si="17"/>
        <v>TungstenChenzhou Diamond Tungsten Products Co., Ltd.</v>
      </c>
    </row>
    <row r="107" spans="1:28" s="227" customFormat="1" ht="20.399999999999999">
      <c r="A107" s="181" t="s">
        <v>1422</v>
      </c>
      <c r="B107" s="182" t="s">
        <v>1128</v>
      </c>
      <c r="C107" s="186" t="s">
        <v>15082</v>
      </c>
      <c r="D107" s="230"/>
      <c r="E107" s="182" t="s">
        <v>1097</v>
      </c>
      <c r="F107" s="182" t="s">
        <v>1422</v>
      </c>
      <c r="G107" s="182" t="s">
        <v>13240</v>
      </c>
      <c r="H107" s="183">
        <v>0</v>
      </c>
      <c r="I107" s="184" t="s">
        <v>1750</v>
      </c>
      <c r="J107" s="184" t="s">
        <v>1543</v>
      </c>
      <c r="K107" s="224"/>
      <c r="L107" s="224"/>
      <c r="M107" s="224"/>
      <c r="N107" s="224"/>
      <c r="O107" s="224"/>
      <c r="P107" s="185"/>
      <c r="Q107" s="225"/>
      <c r="R107" s="182" t="str">
        <f ca="1">IF(ISERROR($V107),"",OFFSET('Smelter Look-up'!$C$4,$V107-4,0)&amp;"")</f>
        <v>TANIOBIS Smelting GmbH &amp; Co. KG</v>
      </c>
      <c r="S107" s="181" t="str">
        <f t="shared" ca="1" si="15"/>
        <v>DE</v>
      </c>
      <c r="T107" s="181" t="str">
        <f ca="1">IF(B107="","",IF(ISERROR(MATCH($J107,SorP!$B$1:$B$6279,0)),"",INDIRECT("'SorP'!$A$"&amp;MATCH($S107&amp;$J107,SorP!C:C,0))))</f>
        <v>DE-BW</v>
      </c>
      <c r="U107" s="201"/>
      <c r="V107" s="226">
        <f>IF(C107="",NA(),IF(OR(C107="Smelter not listed",C107="Smelter not yet identified"),MATCH($B107&amp;$D107,'Smelter Look-up'!$J:$J,0),MATCH($B107&amp;$C107,'Smelter Look-up'!$J:$J,0)))</f>
        <v>627</v>
      </c>
      <c r="X107" s="227">
        <f t="shared" si="16"/>
        <v>0</v>
      </c>
      <c r="AB107" s="228" t="str">
        <f t="shared" si="17"/>
        <v>TungstenTANIOBIS Smelting GmbH &amp; Co. KG</v>
      </c>
    </row>
    <row r="108" spans="1:28" s="227" customFormat="1" ht="20.399999999999999">
      <c r="A108" s="181" t="s">
        <v>759</v>
      </c>
      <c r="B108" s="182" t="s">
        <v>1127</v>
      </c>
      <c r="C108" s="186" t="s">
        <v>1373</v>
      </c>
      <c r="D108" s="230"/>
      <c r="E108" s="182" t="s">
        <v>879</v>
      </c>
      <c r="F108" s="182" t="s">
        <v>759</v>
      </c>
      <c r="G108" s="182" t="s">
        <v>13240</v>
      </c>
      <c r="H108" s="183">
        <v>0</v>
      </c>
      <c r="I108" s="184" t="s">
        <v>1733</v>
      </c>
      <c r="J108" s="184" t="s">
        <v>10008</v>
      </c>
      <c r="K108" s="224"/>
      <c r="L108" s="224"/>
      <c r="M108" s="224"/>
      <c r="N108" s="224"/>
      <c r="O108" s="224"/>
      <c r="P108" s="185"/>
      <c r="Q108" s="225"/>
      <c r="R108" s="182" t="str">
        <f ca="1">IF(ISERROR($V108),"",OFFSET('Smelter Look-up'!$C$4,$V108-4,0)&amp;"")</f>
        <v>Solikamsk Magnesium Works OAO</v>
      </c>
      <c r="S108" s="181" t="str">
        <f t="shared" ca="1" si="15"/>
        <v>RU</v>
      </c>
      <c r="T108" s="181" t="str">
        <f ca="1">IF(B108="","",IF(ISERROR(MATCH($J108,SorP!$B$1:$B$6279,0)),"",INDIRECT("'SorP'!$A$"&amp;MATCH($S108&amp;$J108,SorP!C:C,0))))</f>
        <v>RU-PER</v>
      </c>
      <c r="U108" s="201"/>
      <c r="V108" s="226">
        <f>IF(C108="",NA(),IF(OR(C108="Smelter not listed",C108="Smelter not yet identified"),MATCH($B108&amp;$D108,'Smelter Look-up'!$J:$J,0),MATCH($B108&amp;$C108,'Smelter Look-up'!$J:$J,0)))</f>
        <v>369</v>
      </c>
      <c r="X108" s="227">
        <f t="shared" si="16"/>
        <v>0</v>
      </c>
      <c r="AB108" s="228" t="str">
        <f t="shared" si="17"/>
        <v>TantalumSolikamsk Magnesium Works OAO</v>
      </c>
    </row>
    <row r="109" spans="1:28" s="227" customFormat="1" ht="37.799999999999997">
      <c r="A109" s="181" t="s">
        <v>1844</v>
      </c>
      <c r="B109" s="182" t="s">
        <v>1128</v>
      </c>
      <c r="C109" s="186" t="s">
        <v>1843</v>
      </c>
      <c r="D109" s="230"/>
      <c r="E109" s="182" t="s">
        <v>879</v>
      </c>
      <c r="F109" s="182" t="s">
        <v>1844</v>
      </c>
      <c r="G109" s="182" t="s">
        <v>13240</v>
      </c>
      <c r="H109" s="183">
        <v>0</v>
      </c>
      <c r="I109" s="184" t="s">
        <v>1845</v>
      </c>
      <c r="J109" s="184" t="s">
        <v>10026</v>
      </c>
      <c r="K109" s="224"/>
      <c r="L109" s="224"/>
      <c r="M109" s="224"/>
      <c r="N109" s="224"/>
      <c r="O109" s="224"/>
      <c r="P109" s="185"/>
      <c r="Q109" s="225"/>
      <c r="R109" s="182" t="str">
        <f ca="1">IF(ISERROR($V109),"",OFFSET('Smelter Look-up'!$C$4,$V109-4,0)&amp;"")</f>
        <v>Hydrometallurg, JSC</v>
      </c>
      <c r="S109" s="181" t="str">
        <f t="shared" ca="1" si="15"/>
        <v>RU</v>
      </c>
      <c r="T109" s="181" t="str">
        <f ca="1">IF(B109="","",IF(ISERROR(MATCH($J109,SorP!$B$1:$B$6279,0)),"",INDIRECT("'SorP'!$A$"&amp;MATCH($S109&amp;$J109,SorP!C:C,0))))</f>
        <v>RU-KB</v>
      </c>
      <c r="U109" s="201"/>
      <c r="V109" s="226">
        <f>IF(C109="",NA(),IF(OR(C109="Smelter not listed",C109="Smelter not yet identified"),MATCH($B109&amp;$D109,'Smelter Look-up'!$J:$J,0),MATCH($B109&amp;$C109,'Smelter Look-up'!$J:$J,0)))</f>
        <v>599</v>
      </c>
      <c r="X109" s="227">
        <f t="shared" si="16"/>
        <v>0</v>
      </c>
      <c r="AB109" s="228" t="str">
        <f t="shared" si="17"/>
        <v>TungstenHydrometallurg, JSC</v>
      </c>
    </row>
    <row r="110" spans="1:28" s="227" customFormat="1" ht="20.399999999999999">
      <c r="A110" s="181" t="s">
        <v>794</v>
      </c>
      <c r="B110" s="182" t="s">
        <v>1128</v>
      </c>
      <c r="C110" s="186" t="s">
        <v>1376</v>
      </c>
      <c r="D110" s="230"/>
      <c r="E110" s="182" t="s">
        <v>1096</v>
      </c>
      <c r="F110" s="182" t="s">
        <v>794</v>
      </c>
      <c r="G110" s="182" t="s">
        <v>13240</v>
      </c>
      <c r="H110" s="183">
        <v>0</v>
      </c>
      <c r="I110" s="184" t="s">
        <v>1740</v>
      </c>
      <c r="J110" s="184" t="s">
        <v>13623</v>
      </c>
      <c r="K110" s="224"/>
      <c r="L110" s="224"/>
      <c r="M110" s="224"/>
      <c r="N110" s="224"/>
      <c r="O110" s="224"/>
      <c r="P110" s="185"/>
      <c r="Q110" s="225"/>
      <c r="R110" s="182" t="str">
        <f ca="1">IF(ISERROR($V110),"",OFFSET('Smelter Look-up'!$C$4,$V110-4,0)&amp;"")</f>
        <v>Hunan Jintai New Material Co., Ltd.</v>
      </c>
      <c r="S110" s="181" t="str">
        <f t="shared" ca="1" si="15"/>
        <v>CN</v>
      </c>
      <c r="T110" s="181" t="str">
        <f ca="1">IF(B110="","",IF(ISERROR(MATCH($J110,SorP!$B$1:$B$6279,0)),"",INDIRECT("'SorP'!$A$"&amp;MATCH($S110&amp;$J110,SorP!C:C,0))))</f>
        <v>CN-HN</v>
      </c>
      <c r="U110" s="201"/>
      <c r="V110" s="226">
        <f>IF(C110="",NA(),IF(OR(C110="Smelter not listed",C110="Smelter not yet identified"),MATCH($B110&amp;$D110,'Smelter Look-up'!$J:$J,0),MATCH($B110&amp;$C110,'Smelter Look-up'!$J:$J,0)))</f>
        <v>596</v>
      </c>
      <c r="X110" s="227">
        <f t="shared" si="16"/>
        <v>0</v>
      </c>
      <c r="AB110" s="228" t="str">
        <f t="shared" si="17"/>
        <v>TungstenHunan Chunchang Nonferrous Metals Co., Ltd.</v>
      </c>
    </row>
    <row r="111" spans="1:28" s="227" customFormat="1" ht="20.399999999999999">
      <c r="A111" s="181" t="s">
        <v>2271</v>
      </c>
      <c r="B111" s="182" t="s">
        <v>1128</v>
      </c>
      <c r="C111" s="186" t="s">
        <v>2537</v>
      </c>
      <c r="D111" s="230"/>
      <c r="E111" s="182" t="s">
        <v>879</v>
      </c>
      <c r="F111" s="182" t="s">
        <v>2271</v>
      </c>
      <c r="G111" s="182" t="s">
        <v>13240</v>
      </c>
      <c r="H111" s="183">
        <v>0</v>
      </c>
      <c r="I111" s="184" t="s">
        <v>2272</v>
      </c>
      <c r="J111" s="184" t="s">
        <v>9959</v>
      </c>
      <c r="K111" s="224"/>
      <c r="L111" s="224"/>
      <c r="M111" s="224"/>
      <c r="N111" s="224"/>
      <c r="O111" s="224"/>
      <c r="P111" s="185"/>
      <c r="Q111" s="225"/>
      <c r="R111" s="182" t="str">
        <f ca="1">IF(ISERROR($V111),"",OFFSET('Smelter Look-up'!$C$4,$V111-4,0)&amp;"")</f>
        <v>Moliren Ltd.</v>
      </c>
      <c r="S111" s="181" t="str">
        <f t="shared" ca="1" si="15"/>
        <v>RU</v>
      </c>
      <c r="T111" s="181" t="str">
        <f ca="1">IF(B111="","",IF(ISERROR(MATCH($J111,SorP!$B$1:$B$6279,0)),"",INDIRECT("'SorP'!$A$"&amp;MATCH($S111&amp;$J111,SorP!C:C,0))))</f>
        <v>RU-MOS</v>
      </c>
      <c r="U111" s="201"/>
      <c r="V111" s="226">
        <f>IF(C111="",NA(),IF(OR(C111="Smelter not listed",C111="Smelter not yet identified"),MATCH($B111&amp;$D111,'Smelter Look-up'!$J:$J,0),MATCH($B111&amp;$C111,'Smelter Look-up'!$J:$J,0)))</f>
        <v>618</v>
      </c>
      <c r="X111" s="227">
        <f t="shared" si="16"/>
        <v>0</v>
      </c>
      <c r="AB111" s="228" t="str">
        <f t="shared" si="17"/>
        <v>TungstenMoliren Ltd.</v>
      </c>
    </row>
    <row r="112" spans="1:28" s="227" customFormat="1" ht="20.399999999999999">
      <c r="A112" s="181" t="s">
        <v>772</v>
      </c>
      <c r="B112" s="182" t="s">
        <v>1126</v>
      </c>
      <c r="C112" s="186" t="s">
        <v>12430</v>
      </c>
      <c r="D112" s="230"/>
      <c r="E112" s="182" t="s">
        <v>1092</v>
      </c>
      <c r="F112" s="182" t="s">
        <v>772</v>
      </c>
      <c r="G112" s="182" t="s">
        <v>13240</v>
      </c>
      <c r="H112" s="183">
        <v>0</v>
      </c>
      <c r="I112" s="184" t="s">
        <v>1783</v>
      </c>
      <c r="J112" s="184" t="s">
        <v>1674</v>
      </c>
      <c r="K112" s="224"/>
      <c r="L112" s="224"/>
      <c r="M112" s="224"/>
      <c r="N112" s="224"/>
      <c r="O112" s="224"/>
      <c r="P112" s="185"/>
      <c r="Q112" s="225"/>
      <c r="R112" s="182" t="str">
        <f ca="1">IF(ISERROR($V112),"",OFFSET('Smelter Look-up'!$C$4,$V112-4,0)&amp;"")</f>
        <v>Mineracao Taboca S.A.</v>
      </c>
      <c r="S112" s="181" t="str">
        <f t="shared" ca="1" si="15"/>
        <v>BR</v>
      </c>
      <c r="T112" s="181" t="str">
        <f ca="1">IF(B112="","",IF(ISERROR(MATCH($J112,SorP!$B$1:$B$6279,0)),"",INDIRECT("'SorP'!$A$"&amp;MATCH($S112&amp;$J112,SorP!C:C,0))))</f>
        <v>BR-SP</v>
      </c>
      <c r="U112" s="201"/>
      <c r="V112" s="226">
        <f>IF(C112="",NA(),IF(OR(C112="Smelter not listed",C112="Smelter not yet identified"),MATCH($B112&amp;$D112,'Smelter Look-up'!$J:$J,0),MATCH($B112&amp;$C112,'Smelter Look-up'!$J:$J,0)))</f>
        <v>465</v>
      </c>
      <c r="X112" s="227">
        <f t="shared" si="16"/>
        <v>0</v>
      </c>
      <c r="AB112" s="228" t="str">
        <f t="shared" si="17"/>
        <v>TinMineracao Taboca S.A.</v>
      </c>
    </row>
    <row r="113" spans="1:28" s="227" customFormat="1" ht="37.799999999999997">
      <c r="A113" s="181" t="s">
        <v>764</v>
      </c>
      <c r="B113" s="182" t="s">
        <v>1126</v>
      </c>
      <c r="C113" s="186" t="s">
        <v>838</v>
      </c>
      <c r="D113" s="230"/>
      <c r="E113" s="182" t="s">
        <v>2430</v>
      </c>
      <c r="F113" s="182" t="s">
        <v>764</v>
      </c>
      <c r="G113" s="182" t="s">
        <v>13240</v>
      </c>
      <c r="H113" s="183">
        <v>0</v>
      </c>
      <c r="I113" s="184" t="s">
        <v>1769</v>
      </c>
      <c r="J113" s="184" t="s">
        <v>1769</v>
      </c>
      <c r="K113" s="224"/>
      <c r="L113" s="224"/>
      <c r="M113" s="224"/>
      <c r="N113" s="224"/>
      <c r="O113" s="224"/>
      <c r="P113" s="185"/>
      <c r="Q113" s="225"/>
      <c r="R113" s="182" t="str">
        <f ca="1">IF(ISERROR($V113),"",OFFSET('Smelter Look-up'!$C$4,$V113-4,0)&amp;"")</f>
        <v>EM Vinto</v>
      </c>
      <c r="S113" s="181" t="str">
        <f t="shared" ca="1" si="15"/>
        <v>BO</v>
      </c>
      <c r="T113" s="181" t="str">
        <f ca="1">IF(B113="","",IF(ISERROR(MATCH($J113,SorP!$B$1:$B$6279,0)),"",INDIRECT("'SorP'!$A$"&amp;MATCH($S113&amp;$J113,SorP!C:C,0))))</f>
        <v>BO-O</v>
      </c>
      <c r="U113" s="201"/>
      <c r="V113" s="226">
        <f>IF(C113="",NA(),IF(OR(C113="Smelter not listed",C113="Smelter not yet identified"),MATCH($B113&amp;$D113,'Smelter Look-up'!$J:$J,0),MATCH($B113&amp;$C113,'Smelter Look-up'!$J:$J,0)))</f>
        <v>421</v>
      </c>
      <c r="X113" s="227">
        <f t="shared" si="16"/>
        <v>0</v>
      </c>
      <c r="AB113" s="228" t="str">
        <f t="shared" si="17"/>
        <v>TinEM Vinto</v>
      </c>
    </row>
    <row r="114" spans="1:28" s="227" customFormat="1" ht="20.399999999999999">
      <c r="A114" s="181" t="s">
        <v>771</v>
      </c>
      <c r="B114" s="182" t="s">
        <v>1126</v>
      </c>
      <c r="C114" s="186" t="s">
        <v>817</v>
      </c>
      <c r="D114" s="230"/>
      <c r="E114" s="182" t="s">
        <v>1111</v>
      </c>
      <c r="F114" s="182" t="s">
        <v>771</v>
      </c>
      <c r="G114" s="182" t="s">
        <v>13240</v>
      </c>
      <c r="H114" s="183">
        <v>0</v>
      </c>
      <c r="I114" s="184" t="s">
        <v>1780</v>
      </c>
      <c r="J114" s="184" t="s">
        <v>8688</v>
      </c>
      <c r="K114" s="224"/>
      <c r="L114" s="224"/>
      <c r="M114" s="224"/>
      <c r="N114" s="224"/>
      <c r="O114" s="224"/>
      <c r="P114" s="185"/>
      <c r="Q114" s="225"/>
      <c r="R114" s="182" t="str">
        <f ca="1">IF(ISERROR($V114),"",OFFSET('Smelter Look-up'!$C$4,$V114-4,0)&amp;"")</f>
        <v>Malaysia Smelting Corporation (MSC)</v>
      </c>
      <c r="S114" s="181" t="str">
        <f t="shared" ca="1" si="15"/>
        <v>MY</v>
      </c>
      <c r="T114" s="181" t="str">
        <f ca="1">IF(B114="","",IF(ISERROR(MATCH($J114,SorP!$B$1:$B$6279,0)),"",INDIRECT("'SorP'!$A$"&amp;MATCH($S114&amp;$J114,SorP!C:C,0))))</f>
        <v>MY-07</v>
      </c>
      <c r="U114" s="201"/>
      <c r="V114" s="226">
        <f>IF(C114="",NA(),IF(OR(C114="Smelter not listed",C114="Smelter not yet identified"),MATCH($B114&amp;$D114,'Smelter Look-up'!$J:$J,0),MATCH($B114&amp;$C114,'Smelter Look-up'!$J:$J,0)))</f>
        <v>458</v>
      </c>
      <c r="X114" s="227">
        <f t="shared" si="16"/>
        <v>0</v>
      </c>
      <c r="AB114" s="228" t="str">
        <f t="shared" si="17"/>
        <v>TinMalaysia Smelting Corporation (MSC)</v>
      </c>
    </row>
    <row r="115" spans="1:28" s="227" customFormat="1" ht="20.399999999999999">
      <c r="A115" s="181" t="s">
        <v>784</v>
      </c>
      <c r="B115" s="182" t="s">
        <v>1126</v>
      </c>
      <c r="C115" s="186" t="s">
        <v>1027</v>
      </c>
      <c r="D115" s="230"/>
      <c r="E115" s="182" t="s">
        <v>884</v>
      </c>
      <c r="F115" s="182" t="s">
        <v>784</v>
      </c>
      <c r="G115" s="182" t="s">
        <v>13240</v>
      </c>
      <c r="H115" s="183">
        <v>0</v>
      </c>
      <c r="I115" s="184" t="s">
        <v>1795</v>
      </c>
      <c r="J115" s="184" t="s">
        <v>1796</v>
      </c>
      <c r="K115" s="224"/>
      <c r="L115" s="224"/>
      <c r="M115" s="224"/>
      <c r="N115" s="224"/>
      <c r="O115" s="224"/>
      <c r="P115" s="185"/>
      <c r="Q115" s="225"/>
      <c r="R115" s="182" t="str">
        <f ca="1">IF(ISERROR($V115),"",OFFSET('Smelter Look-up'!$C$4,$V115-4,0)&amp;"")</f>
        <v>Thaisarco</v>
      </c>
      <c r="S115" s="181" t="str">
        <f t="shared" ca="1" si="15"/>
        <v>TH</v>
      </c>
      <c r="T115" s="181" t="str">
        <f ca="1">IF(B115="","",IF(ISERROR(MATCH($J115,SorP!$B$1:$B$6279,0)),"",INDIRECT("'SorP'!$A$"&amp;MATCH($S115&amp;$J115,SorP!C:C,0))))</f>
        <v>TH-83</v>
      </c>
      <c r="U115" s="201"/>
      <c r="V115" s="226">
        <f>IF(C115="",NA(),IF(OR(C115="Smelter not listed",C115="Smelter not yet identified"),MATCH($B115&amp;$D115,'Smelter Look-up'!$J:$J,0),MATCH($B115&amp;$C115,'Smelter Look-up'!$J:$J,0)))</f>
        <v>526</v>
      </c>
      <c r="X115" s="227">
        <f t="shared" si="16"/>
        <v>0</v>
      </c>
      <c r="AB115" s="228" t="str">
        <f t="shared" si="17"/>
        <v>TinThaisarco</v>
      </c>
    </row>
    <row r="116" spans="1:28" s="227" customFormat="1" ht="20.399999999999999">
      <c r="A116" s="181" t="s">
        <v>800</v>
      </c>
      <c r="B116" s="182" t="s">
        <v>1126</v>
      </c>
      <c r="C116" s="186" t="s">
        <v>13802</v>
      </c>
      <c r="D116" s="230"/>
      <c r="E116" s="182" t="s">
        <v>1101</v>
      </c>
      <c r="F116" s="182" t="s">
        <v>800</v>
      </c>
      <c r="G116" s="182" t="s">
        <v>13240</v>
      </c>
      <c r="H116" s="183">
        <v>0</v>
      </c>
      <c r="I116" s="184" t="s">
        <v>1792</v>
      </c>
      <c r="J116" s="184" t="s">
        <v>6065</v>
      </c>
      <c r="K116" s="224"/>
      <c r="L116" s="224"/>
      <c r="M116" s="224"/>
      <c r="N116" s="224"/>
      <c r="O116" s="224"/>
      <c r="P116" s="185"/>
      <c r="Q116" s="225"/>
      <c r="R116" s="182" t="str">
        <f ca="1">IF(ISERROR($V116),"",OFFSET('Smelter Look-up'!$C$4,$V116-4,0)&amp;"")</f>
        <v>PT Timah Tbk Kundur</v>
      </c>
      <c r="S116" s="181" t="str">
        <f t="shared" ca="1" si="15"/>
        <v>ID</v>
      </c>
      <c r="T116" s="181" t="str">
        <f ca="1">IF(B116="","",IF(ISERROR(MATCH($J116,SorP!$B$1:$B$6279,0)),"",INDIRECT("'SorP'!$A$"&amp;MATCH($S116&amp;$J116,SorP!C:C,0))))</f>
        <v>ID-RI</v>
      </c>
      <c r="U116" s="201"/>
      <c r="V116" s="226">
        <f>IF(C116="",NA(),IF(OR(C116="Smelter not listed",C116="Smelter not yet identified"),MATCH($B116&amp;$D116,'Smelter Look-up'!$J:$J,0),MATCH($B116&amp;$C116,'Smelter Look-up'!$J:$J,0)))</f>
        <v>513</v>
      </c>
      <c r="X116" s="227">
        <f t="shared" si="16"/>
        <v>0</v>
      </c>
      <c r="AB116" s="228" t="str">
        <f t="shared" si="17"/>
        <v>TinPT Timah Tbk Kundur</v>
      </c>
    </row>
    <row r="117" spans="1:28" s="227" customFormat="1" ht="25.2">
      <c r="A117" s="181" t="s">
        <v>781</v>
      </c>
      <c r="B117" s="182" t="s">
        <v>1126</v>
      </c>
      <c r="C117" s="186" t="s">
        <v>13801</v>
      </c>
      <c r="D117" s="230"/>
      <c r="E117" s="182" t="s">
        <v>1101</v>
      </c>
      <c r="F117" s="182" t="s">
        <v>781</v>
      </c>
      <c r="G117" s="182" t="s">
        <v>13240</v>
      </c>
      <c r="H117" s="183">
        <v>0</v>
      </c>
      <c r="I117" s="184" t="s">
        <v>1794</v>
      </c>
      <c r="J117" s="184" t="s">
        <v>12852</v>
      </c>
      <c r="K117" s="224"/>
      <c r="L117" s="224"/>
      <c r="M117" s="224"/>
      <c r="N117" s="224"/>
      <c r="O117" s="224"/>
      <c r="P117" s="185"/>
      <c r="Q117" s="225"/>
      <c r="R117" s="182" t="str">
        <f ca="1">IF(ISERROR($V117),"",OFFSET('Smelter Look-up'!$C$4,$V117-4,0)&amp;"")</f>
        <v>PT Timah Tbk Mentok</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514</v>
      </c>
      <c r="X117" s="227">
        <f t="shared" si="16"/>
        <v>0</v>
      </c>
      <c r="AB117" s="228" t="str">
        <f t="shared" si="17"/>
        <v>TinPT Timah Tbk Mentok</v>
      </c>
    </row>
    <row r="118" spans="1:28" s="227" customFormat="1" ht="20.399999999999999">
      <c r="A118" s="181" t="s">
        <v>1815</v>
      </c>
      <c r="B118" s="182" t="s">
        <v>1126</v>
      </c>
      <c r="C118" s="186" t="s">
        <v>12932</v>
      </c>
      <c r="D118" s="230"/>
      <c r="E118" s="182" t="s">
        <v>1091</v>
      </c>
      <c r="F118" s="182" t="s">
        <v>1815</v>
      </c>
      <c r="G118" s="182" t="s">
        <v>13240</v>
      </c>
      <c r="H118" s="183">
        <v>0</v>
      </c>
      <c r="I118" s="184" t="s">
        <v>1816</v>
      </c>
      <c r="J118" s="184" t="s">
        <v>3153</v>
      </c>
      <c r="K118" s="224"/>
      <c r="L118" s="224"/>
      <c r="M118" s="224"/>
      <c r="N118" s="224"/>
      <c r="O118" s="224"/>
      <c r="P118" s="185"/>
      <c r="Q118" s="225"/>
      <c r="R118" s="182" t="str">
        <f ca="1">IF(ISERROR($V118),"",OFFSET('Smelter Look-up'!$C$4,$V118-4,0)&amp;"")</f>
        <v>Aurubis Beerse</v>
      </c>
      <c r="S118" s="181" t="str">
        <f t="shared" ca="1" si="15"/>
        <v>BE</v>
      </c>
      <c r="T118" s="181" t="str">
        <f ca="1">IF(B118="","",IF(ISERROR(MATCH($J118,SorP!$B$1:$B$6279,0)),"",INDIRECT("'SorP'!$A$"&amp;MATCH($S118&amp;$J118,SorP!C:C,0))))</f>
        <v>BE-VAN</v>
      </c>
      <c r="U118" s="201"/>
      <c r="V118" s="226">
        <f>IF(C118="",NA(),IF(OR(C118="Smelter not listed",C118="Smelter not yet identified"),MATCH($B118&amp;$D118,'Smelter Look-up'!$J:$J,0),MATCH($B118&amp;$C118,'Smelter Look-up'!$J:$J,0)))</f>
        <v>463</v>
      </c>
      <c r="X118" s="227">
        <f t="shared" si="16"/>
        <v>0</v>
      </c>
      <c r="AB118" s="228" t="str">
        <f t="shared" si="17"/>
        <v>TinMetallo Belgium N.V.</v>
      </c>
    </row>
    <row r="119" spans="1:28" s="227" customFormat="1" ht="20.399999999999999">
      <c r="A119" s="181" t="s">
        <v>785</v>
      </c>
      <c r="B119" s="182" t="s">
        <v>1126</v>
      </c>
      <c r="C119" s="186" t="s">
        <v>2532</v>
      </c>
      <c r="D119" s="230"/>
      <c r="E119" s="182" t="s">
        <v>1092</v>
      </c>
      <c r="F119" s="182" t="s">
        <v>785</v>
      </c>
      <c r="G119" s="182" t="s">
        <v>13240</v>
      </c>
      <c r="H119" s="183">
        <v>0</v>
      </c>
      <c r="I119" s="184" t="s">
        <v>1766</v>
      </c>
      <c r="J119" s="184" t="s">
        <v>1770</v>
      </c>
      <c r="K119" s="224"/>
      <c r="L119" s="224"/>
      <c r="M119" s="224"/>
      <c r="N119" s="224"/>
      <c r="O119" s="224"/>
      <c r="P119" s="185"/>
      <c r="Q119" s="225"/>
      <c r="R119" s="182" t="str">
        <f ca="1">IF(ISERROR($V119),"",OFFSET('Smelter Look-up'!$C$4,$V119-4,0)&amp;"")</f>
        <v>White Solder Metalurgia e Mineracao Ltda.</v>
      </c>
      <c r="S119" s="181" t="str">
        <f t="shared" ca="1" si="15"/>
        <v>BR</v>
      </c>
      <c r="T119" s="181" t="str">
        <f ca="1">IF(B119="","",IF(ISERROR(MATCH($J119,SorP!$B$1:$B$6279,0)),"",INDIRECT("'SorP'!$A$"&amp;MATCH($S119&amp;$J119,SorP!C:C,0))))</f>
        <v>BR-RO</v>
      </c>
      <c r="U119" s="201"/>
      <c r="V119" s="226">
        <f>IF(C119="",NA(),IF(OR(C119="Smelter not listed",C119="Smelter not yet identified"),MATCH($B119&amp;$D119,'Smelter Look-up'!$J:$J,0),MATCH($B119&amp;$C119,'Smelter Look-up'!$J:$J,0)))</f>
        <v>535</v>
      </c>
      <c r="X119" s="227">
        <f t="shared" si="16"/>
        <v>0</v>
      </c>
      <c r="AB119" s="228" t="str">
        <f t="shared" si="17"/>
        <v>TinWhite Solder Metalurgia e Mineracao Ltda.</v>
      </c>
    </row>
    <row r="120" spans="1:28" s="227" customFormat="1" ht="20.399999999999999">
      <c r="A120" s="181" t="s">
        <v>773</v>
      </c>
      <c r="B120" s="182" t="s">
        <v>1126</v>
      </c>
      <c r="C120" s="186" t="s">
        <v>1030</v>
      </c>
      <c r="D120" s="230"/>
      <c r="E120" s="182" t="s">
        <v>876</v>
      </c>
      <c r="F120" s="182" t="s">
        <v>773</v>
      </c>
      <c r="G120" s="182" t="s">
        <v>13240</v>
      </c>
      <c r="H120" s="183">
        <v>0</v>
      </c>
      <c r="I120" s="184" t="s">
        <v>1785</v>
      </c>
      <c r="J120" s="184" t="s">
        <v>9115</v>
      </c>
      <c r="K120" s="224"/>
      <c r="L120" s="224"/>
      <c r="M120" s="224"/>
      <c r="N120" s="224"/>
      <c r="O120" s="224"/>
      <c r="P120" s="185"/>
      <c r="Q120" s="225"/>
      <c r="R120" s="182" t="str">
        <f ca="1">IF(ISERROR($V120),"",OFFSET('Smelter Look-up'!$C$4,$V120-4,0)&amp;"")</f>
        <v>Minsur</v>
      </c>
      <c r="S120" s="181" t="str">
        <f t="shared" ca="1" si="15"/>
        <v>PE</v>
      </c>
      <c r="T120" s="181" t="str">
        <f ca="1">IF(B120="","",IF(ISERROR(MATCH($J120,SorP!$B$1:$B$6279,0)),"",INDIRECT("'SorP'!$A$"&amp;MATCH($S120&amp;$J120,SorP!C:C,0))))</f>
        <v>PE-ICA</v>
      </c>
      <c r="U120" s="201"/>
      <c r="V120" s="226">
        <f>IF(C120="",NA(),IF(OR(C120="Smelter not listed",C120="Smelter not yet identified"),MATCH($B120&amp;$D120,'Smelter Look-up'!$J:$J,0),MATCH($B120&amp;$C120,'Smelter Look-up'!$J:$J,0)))</f>
        <v>470</v>
      </c>
      <c r="X120" s="227">
        <f t="shared" si="16"/>
        <v>0</v>
      </c>
      <c r="AB120" s="228" t="str">
        <f t="shared" si="17"/>
        <v>TinMinsur</v>
      </c>
    </row>
    <row r="121" spans="1:28" s="227" customFormat="1" ht="25.2">
      <c r="A121" s="181" t="s">
        <v>13184</v>
      </c>
      <c r="B121" s="182" t="s">
        <v>1126</v>
      </c>
      <c r="C121" s="186" t="s">
        <v>13183</v>
      </c>
      <c r="D121" s="230"/>
      <c r="E121" s="182" t="s">
        <v>2432</v>
      </c>
      <c r="F121" s="182" t="s">
        <v>13184</v>
      </c>
      <c r="G121" s="182" t="s">
        <v>13240</v>
      </c>
      <c r="H121" s="183">
        <v>0</v>
      </c>
      <c r="I121" s="184" t="s">
        <v>13185</v>
      </c>
      <c r="J121" s="184" t="s">
        <v>1737</v>
      </c>
      <c r="K121" s="224"/>
      <c r="L121" s="224"/>
      <c r="M121" s="224"/>
      <c r="N121" s="224"/>
      <c r="O121" s="224"/>
      <c r="P121" s="185"/>
      <c r="Q121" s="225"/>
      <c r="R121" s="182" t="str">
        <f ca="1">IF(ISERROR($V121),"",OFFSET('Smelter Look-up'!$C$4,$V121-4,0)&amp;"")</f>
        <v>Tin Technology &amp; Refining</v>
      </c>
      <c r="S121" s="181" t="str">
        <f t="shared" ca="1" si="15"/>
        <v>US</v>
      </c>
      <c r="T121" s="181" t="str">
        <f ca="1">IF(B121="","",IF(ISERROR(MATCH($J121,SorP!$B$1:$B$6279,0)),"",INDIRECT("'SorP'!$A$"&amp;MATCH($S121&amp;$J121,SorP!C:C,0))))</f>
        <v>US-PA</v>
      </c>
      <c r="U121" s="201"/>
      <c r="V121" s="226">
        <f>IF(C121="",NA(),IF(OR(C121="Smelter not listed",C121="Smelter not yet identified"),MATCH($B121&amp;$D121,'Smelter Look-up'!$J:$J,0),MATCH($B121&amp;$C121,'Smelter Look-up'!$J:$J,0)))</f>
        <v>530</v>
      </c>
      <c r="X121" s="227">
        <f t="shared" si="16"/>
        <v>0</v>
      </c>
      <c r="AB121" s="228" t="str">
        <f t="shared" si="17"/>
        <v>TinTin Technology &amp; Refining</v>
      </c>
    </row>
    <row r="122" spans="1:28" s="227" customFormat="1" ht="25.2">
      <c r="A122" s="181" t="s">
        <v>780</v>
      </c>
      <c r="B122" s="182" t="s">
        <v>1126</v>
      </c>
      <c r="C122" s="186" t="s">
        <v>2157</v>
      </c>
      <c r="D122" s="230"/>
      <c r="E122" s="182" t="s">
        <v>1101</v>
      </c>
      <c r="F122" s="182" t="s">
        <v>780</v>
      </c>
      <c r="G122" s="182" t="s">
        <v>13240</v>
      </c>
      <c r="H122" s="183">
        <v>0</v>
      </c>
      <c r="I122" s="184" t="s">
        <v>1767</v>
      </c>
      <c r="J122" s="184" t="s">
        <v>12852</v>
      </c>
      <c r="K122" s="224"/>
      <c r="L122" s="224"/>
      <c r="M122" s="224"/>
      <c r="N122" s="224"/>
      <c r="O122" s="224"/>
      <c r="P122" s="185"/>
      <c r="Q122" s="225"/>
      <c r="R122" s="182" t="str">
        <f ca="1">IF(ISERROR($V122),"",OFFSET('Smelter Look-up'!$C$4,$V122-4,0)&amp;"")</f>
        <v>PT Refined Bangka Tin</v>
      </c>
      <c r="S122" s="181" t="str">
        <f t="shared" ca="1" si="15"/>
        <v>ID</v>
      </c>
      <c r="T122" s="181" t="str">
        <f ca="1">IF(B122="","",IF(ISERROR(MATCH($J122,SorP!$B$1:$B$6279,0)),"",INDIRECT("'SorP'!$A$"&amp;MATCH($S122&amp;$J122,SorP!C:C,0))))</f>
        <v>ID-BB</v>
      </c>
      <c r="U122" s="201"/>
      <c r="V122" s="226">
        <f>IF(C122="",NA(),IF(OR(C122="Smelter not listed",C122="Smelter not yet identified"),MATCH($B122&amp;$D122,'Smelter Look-up'!$J:$J,0),MATCH($B122&amp;$C122,'Smelter Look-up'!$J:$J,0)))</f>
        <v>507</v>
      </c>
      <c r="X122" s="227">
        <f t="shared" si="16"/>
        <v>0</v>
      </c>
      <c r="AB122" s="228" t="str">
        <f t="shared" si="17"/>
        <v>TinPT Refined Bangka Tin</v>
      </c>
    </row>
    <row r="123" spans="1:28" s="227" customFormat="1" ht="20.399999999999999">
      <c r="A123" s="181" t="s">
        <v>15815</v>
      </c>
      <c r="B123" s="182" t="s">
        <v>1126</v>
      </c>
      <c r="C123" s="186" t="s">
        <v>15816</v>
      </c>
      <c r="D123" s="230"/>
      <c r="E123" s="182" t="s">
        <v>1092</v>
      </c>
      <c r="F123" s="182" t="s">
        <v>15815</v>
      </c>
      <c r="G123" s="182" t="s">
        <v>13240</v>
      </c>
      <c r="H123" s="183">
        <v>0</v>
      </c>
      <c r="I123" s="184" t="s">
        <v>15817</v>
      </c>
      <c r="J123" s="184" t="s">
        <v>1674</v>
      </c>
      <c r="K123" s="224"/>
      <c r="L123" s="224"/>
      <c r="M123" s="224"/>
      <c r="N123" s="224"/>
      <c r="O123" s="224"/>
      <c r="P123" s="185"/>
      <c r="Q123" s="225"/>
      <c r="R123" s="182" t="str">
        <f ca="1">IF(ISERROR($V123),"",OFFSET('Smelter Look-up'!$C$4,$V123-4,0)&amp;"")</f>
        <v/>
      </c>
      <c r="S123" s="181" t="str">
        <f t="shared" ca="1" si="15"/>
        <v>BR</v>
      </c>
      <c r="T123" s="181" t="str">
        <f ca="1">IF(B123="","",IF(ISERROR(MATCH($J123,SorP!$B$1:$B$6279,0)),"",INDIRECT("'SorP'!$A$"&amp;MATCH($S123&amp;$J123,SorP!C:C,0))))</f>
        <v>BR-SP</v>
      </c>
      <c r="U123" s="201"/>
      <c r="V123" s="226" t="e">
        <f>IF(C123="",NA(),IF(OR(C123="Smelter not listed",C123="Smelter not yet identified"),MATCH($B123&amp;$D123,'Smelter Look-up'!$J:$J,0),MATCH($B123&amp;$C123,'Smelter Look-up'!$J:$J,0)))</f>
        <v>#N/A</v>
      </c>
      <c r="X123" s="227">
        <f t="shared" si="16"/>
        <v>0</v>
      </c>
      <c r="AB123" s="228" t="str">
        <f t="shared" si="17"/>
        <v>TinSoft Metais Ltda.</v>
      </c>
    </row>
    <row r="124" spans="1:28" s="227" customFormat="1" ht="20.399999999999999">
      <c r="A124" s="181" t="s">
        <v>762</v>
      </c>
      <c r="B124" s="182" t="s">
        <v>1127</v>
      </c>
      <c r="C124" s="186" t="s">
        <v>1738</v>
      </c>
      <c r="D124" s="230"/>
      <c r="E124" s="182" t="s">
        <v>1105</v>
      </c>
      <c r="F124" s="182" t="s">
        <v>762</v>
      </c>
      <c r="G124" s="182" t="s">
        <v>13240</v>
      </c>
      <c r="H124" s="183">
        <v>0</v>
      </c>
      <c r="I124" s="184" t="s">
        <v>1606</v>
      </c>
      <c r="J124" s="184" t="s">
        <v>7058</v>
      </c>
      <c r="K124" s="224"/>
      <c r="L124" s="224"/>
      <c r="M124" s="224"/>
      <c r="N124" s="224"/>
      <c r="O124" s="224"/>
      <c r="P124" s="185"/>
      <c r="Q124" s="225"/>
      <c r="R124" s="182" t="str">
        <f ca="1">IF(ISERROR($V124),"",OFFSET('Smelter Look-up'!$C$4,$V124-4,0)&amp;"")</f>
        <v>Ulba Metallurgical Plant JSC</v>
      </c>
      <c r="S124" s="181" t="str">
        <f t="shared" ca="1" si="15"/>
        <v>KZ</v>
      </c>
      <c r="T124" s="181" t="str">
        <f ca="1">IF(B124="","",IF(ISERROR(MATCH($J124,SorP!$B$1:$B$6279,0)),"",INDIRECT("'SorP'!$A$"&amp;MATCH($S124&amp;$J124,SorP!C:C,0))))</f>
        <v>KZ-KAR</v>
      </c>
      <c r="U124" s="201"/>
      <c r="V124" s="226">
        <f>IF(C124="",NA(),IF(OR(C124="Smelter not listed",C124="Smelter not yet identified"),MATCH($B124&amp;$D124,'Smelter Look-up'!$J:$J,0),MATCH($B124&amp;$C124,'Smelter Look-up'!$J:$J,0)))</f>
        <v>379</v>
      </c>
      <c r="X124" s="227">
        <f t="shared" si="16"/>
        <v>0</v>
      </c>
      <c r="AB124" s="228" t="str">
        <f t="shared" si="17"/>
        <v>TantalumUlba Metallurgical Plant JSC</v>
      </c>
    </row>
    <row r="125" spans="1:28" s="227" customFormat="1" ht="20.399999999999999">
      <c r="A125" s="181" t="s">
        <v>15806</v>
      </c>
      <c r="B125" s="182" t="s">
        <v>1127</v>
      </c>
      <c r="C125" s="186" t="s">
        <v>15807</v>
      </c>
      <c r="D125" s="230"/>
      <c r="E125" s="182" t="s">
        <v>1097</v>
      </c>
      <c r="F125" s="182" t="s">
        <v>15806</v>
      </c>
      <c r="G125" s="182" t="s">
        <v>13240</v>
      </c>
      <c r="H125" s="183">
        <v>0</v>
      </c>
      <c r="I125" s="184" t="s">
        <v>15808</v>
      </c>
      <c r="J125" s="184" t="s">
        <v>4224</v>
      </c>
      <c r="K125" s="224"/>
      <c r="L125" s="224"/>
      <c r="M125" s="224"/>
      <c r="N125" s="224"/>
      <c r="O125" s="224"/>
      <c r="P125" s="185"/>
      <c r="Q125" s="225"/>
      <c r="R125" s="182" t="str">
        <f ca="1">IF(ISERROR($V125),"",OFFSET('Smelter Look-up'!$C$4,$V125-4,0)&amp;"")</f>
        <v/>
      </c>
      <c r="S125" s="181" t="str">
        <f t="shared" ca="1" si="15"/>
        <v>DE</v>
      </c>
      <c r="T125" s="181" t="str">
        <f ca="1">IF(B125="","",IF(ISERROR(MATCH($J125,SorP!$B$1:$B$6279,0)),"",INDIRECT("'SorP'!$A$"&amp;MATCH($S125&amp;$J125,SorP!C:C,0))))</f>
        <v>DE-TH</v>
      </c>
      <c r="U125" s="201"/>
      <c r="V125" s="226" t="e">
        <f>IF(C125="",NA(),IF(OR(C125="Smelter not listed",C125="Smelter not yet identified"),MATCH($B125&amp;$D125,'Smelter Look-up'!$J:$J,0),MATCH($B125&amp;$C125,'Smelter Look-up'!$J:$J,0)))</f>
        <v>#N/A</v>
      </c>
      <c r="X125" s="227">
        <f t="shared" si="16"/>
        <v>0</v>
      </c>
      <c r="AB125" s="228" t="str">
        <f t="shared" si="17"/>
        <v>TantalumH.C. Starck Hermsdorf GmbH</v>
      </c>
    </row>
    <row r="126" spans="1:28" s="227" customFormat="1" ht="20.399999999999999">
      <c r="A126" s="181" t="s">
        <v>746</v>
      </c>
      <c r="B126" s="182" t="s">
        <v>1127</v>
      </c>
      <c r="C126" s="186" t="s">
        <v>45</v>
      </c>
      <c r="D126" s="230"/>
      <c r="E126" s="182" t="s">
        <v>1096</v>
      </c>
      <c r="F126" s="182" t="s">
        <v>746</v>
      </c>
      <c r="G126" s="182" t="s">
        <v>13240</v>
      </c>
      <c r="H126" s="183">
        <v>0</v>
      </c>
      <c r="I126" s="184" t="s">
        <v>1717</v>
      </c>
      <c r="J126" s="184" t="s">
        <v>13624</v>
      </c>
      <c r="K126" s="224"/>
      <c r="L126" s="224"/>
      <c r="M126" s="224"/>
      <c r="N126" s="224"/>
      <c r="O126" s="224"/>
      <c r="P126" s="185"/>
      <c r="Q126" s="225"/>
      <c r="R126" s="182" t="str">
        <f ca="1">IF(ISERROR($V126),"",OFFSET('Smelter Look-up'!$C$4,$V126-4,0)&amp;"")</f>
        <v>F&amp;X Electro-Materials Ltd.</v>
      </c>
      <c r="S126" s="181" t="str">
        <f t="shared" ca="1" si="15"/>
        <v>CN</v>
      </c>
      <c r="T126" s="181" t="str">
        <f ca="1">IF(B126="","",IF(ISERROR(MATCH($J126,SorP!$B$1:$B$6279,0)),"",INDIRECT("'SorP'!$A$"&amp;MATCH($S126&amp;$J126,SorP!C:C,0))))</f>
        <v>CN-GD</v>
      </c>
      <c r="U126" s="201"/>
      <c r="V126" s="226">
        <f>IF(C126="",NA(),IF(OR(C126="Smelter not listed",C126="Smelter not yet identified"),MATCH($B126&amp;$D126,'Smelter Look-up'!$J:$J,0),MATCH($B126&amp;$C126,'Smelter Look-up'!$J:$J,0)))</f>
        <v>328</v>
      </c>
      <c r="X126" s="227">
        <f t="shared" si="16"/>
        <v>0</v>
      </c>
      <c r="AB126" s="228" t="str">
        <f t="shared" si="17"/>
        <v>TantalumF&amp;X Electro-Materials Ltd.</v>
      </c>
    </row>
    <row r="127" spans="1:28" s="227" customFormat="1" ht="25.2">
      <c r="A127" s="181" t="s">
        <v>792</v>
      </c>
      <c r="B127" s="182" t="s">
        <v>1128</v>
      </c>
      <c r="C127" s="186" t="s">
        <v>1</v>
      </c>
      <c r="D127" s="230"/>
      <c r="E127" s="182" t="s">
        <v>2432</v>
      </c>
      <c r="F127" s="182" t="s">
        <v>792</v>
      </c>
      <c r="G127" s="182" t="s">
        <v>13240</v>
      </c>
      <c r="H127" s="183">
        <v>0</v>
      </c>
      <c r="I127" s="184" t="s">
        <v>1826</v>
      </c>
      <c r="J127" s="184" t="s">
        <v>1737</v>
      </c>
      <c r="K127" s="224"/>
      <c r="L127" s="224"/>
      <c r="M127" s="224"/>
      <c r="N127" s="224"/>
      <c r="O127" s="224"/>
      <c r="P127" s="185"/>
      <c r="Q127" s="225"/>
      <c r="R127" s="182" t="str">
        <f ca="1">IF(ISERROR($V127),"",OFFSET('Smelter Look-up'!$C$4,$V127-4,0)&amp;"")</f>
        <v>Global Tungsten &amp; Powders Corp.</v>
      </c>
      <c r="S127" s="181" t="str">
        <f t="shared" ca="1" si="15"/>
        <v>US</v>
      </c>
      <c r="T127" s="181" t="str">
        <f ca="1">IF(B127="","",IF(ISERROR(MATCH($J127,SorP!$B$1:$B$6279,0)),"",INDIRECT("'SorP'!$A$"&amp;MATCH($S127&amp;$J127,SorP!C:C,0))))</f>
        <v>US-PA</v>
      </c>
      <c r="U127" s="201"/>
      <c r="V127" s="226">
        <f>IF(C127="",NA(),IF(OR(C127="Smelter not listed",C127="Smelter not yet identified"),MATCH($B127&amp;$D127,'Smelter Look-up'!$J:$J,0),MATCH($B127&amp;$C127,'Smelter Look-up'!$J:$J,0)))</f>
        <v>585</v>
      </c>
      <c r="X127" s="227">
        <f t="shared" si="16"/>
        <v>0</v>
      </c>
      <c r="AB127" s="228" t="str">
        <f t="shared" si="17"/>
        <v>TungstenGlobal Tungsten &amp; Powders Corp.</v>
      </c>
    </row>
    <row r="128" spans="1:28" s="227" customFormat="1" ht="20.399999999999999">
      <c r="A128" s="181" t="s">
        <v>13812</v>
      </c>
      <c r="B128" s="182" t="s">
        <v>1128</v>
      </c>
      <c r="C128" s="186" t="s">
        <v>15123</v>
      </c>
      <c r="D128" s="230"/>
      <c r="E128" s="182" t="s">
        <v>1096</v>
      </c>
      <c r="F128" s="182" t="s">
        <v>13812</v>
      </c>
      <c r="G128" s="182" t="s">
        <v>13240</v>
      </c>
      <c r="H128" s="183">
        <v>0</v>
      </c>
      <c r="I128" s="184" t="s">
        <v>1615</v>
      </c>
      <c r="J128" s="184" t="s">
        <v>13621</v>
      </c>
      <c r="K128" s="224"/>
      <c r="L128" s="224"/>
      <c r="M128" s="224"/>
      <c r="N128" s="224"/>
      <c r="O128" s="224"/>
      <c r="P128" s="185"/>
      <c r="Q128" s="225"/>
      <c r="R128" s="182" t="str">
        <f ca="1">IF(ISERROR($V128),"",OFFSET('Smelter Look-up'!$C$4,$V128-4,0)&amp;"")</f>
        <v>China Molybdenum Tungsten Co., Ltd.</v>
      </c>
      <c r="S128" s="181" t="str">
        <f t="shared" ca="1" si="15"/>
        <v>CN</v>
      </c>
      <c r="T128" s="181" t="str">
        <f ca="1">IF(B128="","",IF(ISERROR(MATCH($J128,SorP!$B$1:$B$6279,0)),"",INDIRECT("'SorP'!$A$"&amp;MATCH($S128&amp;$J128,SorP!C:C,0))))</f>
        <v>CN-HA</v>
      </c>
      <c r="U128" s="201"/>
      <c r="V128" s="226">
        <f>IF(C128="",NA(),IF(OR(C128="Smelter not listed",C128="Smelter not yet identified"),MATCH($B128&amp;$D128,'Smelter Look-up'!$J:$J,0),MATCH($B128&amp;$C128,'Smelter Look-up'!$J:$J,0)))</f>
        <v>571</v>
      </c>
      <c r="X128" s="227">
        <f t="shared" si="16"/>
        <v>0</v>
      </c>
      <c r="AB128" s="228" t="str">
        <f t="shared" si="17"/>
        <v>TungstenChina Molybdenum Tungsten Co., Ltd.</v>
      </c>
    </row>
    <row r="129" spans="1:28" s="227" customFormat="1" ht="20.399999999999999">
      <c r="A129" s="181" t="s">
        <v>755</v>
      </c>
      <c r="B129" s="182" t="s">
        <v>1127</v>
      </c>
      <c r="C129" s="186" t="s">
        <v>2526</v>
      </c>
      <c r="D129" s="230"/>
      <c r="E129" s="182" t="s">
        <v>1099</v>
      </c>
      <c r="F129" s="182" t="s">
        <v>755</v>
      </c>
      <c r="G129" s="182" t="s">
        <v>13240</v>
      </c>
      <c r="H129" s="183">
        <v>0</v>
      </c>
      <c r="I129" s="184" t="s">
        <v>1728</v>
      </c>
      <c r="J129" s="184" t="s">
        <v>1729</v>
      </c>
      <c r="K129" s="224"/>
      <c r="L129" s="224"/>
      <c r="M129" s="224"/>
      <c r="N129" s="224"/>
      <c r="O129" s="224"/>
      <c r="P129" s="185"/>
      <c r="Q129" s="225"/>
      <c r="R129" s="182" t="str">
        <f ca="1">IF(ISERROR($V129),"",OFFSET('Smelter Look-up'!$C$4,$V129-4,0)&amp;"")</f>
        <v>NPM Silmet AS</v>
      </c>
      <c r="S129" s="181" t="str">
        <f t="shared" ca="1" si="15"/>
        <v>EE</v>
      </c>
      <c r="T129" s="181" t="str">
        <f ca="1">IF(B129="","",IF(ISERROR(MATCH($J129,SorP!$B$1:$B$6279,0)),"",INDIRECT("'SorP'!$A$"&amp;MATCH($S129&amp;$J129,SorP!C:C,0))))</f>
        <v>EE-45</v>
      </c>
      <c r="U129" s="201"/>
      <c r="V129" s="226">
        <f>IF(C129="",NA(),IF(OR(C129="Smelter not listed",C129="Smelter not yet identified"),MATCH($B129&amp;$D129,'Smelter Look-up'!$J:$J,0),MATCH($B129&amp;$C129,'Smelter Look-up'!$J:$J,0)))</f>
        <v>359</v>
      </c>
      <c r="X129" s="227">
        <f t="shared" si="16"/>
        <v>0</v>
      </c>
      <c r="AB129" s="228" t="str">
        <f t="shared" si="17"/>
        <v>TantalumNPM Silmet AS</v>
      </c>
    </row>
    <row r="130" spans="1:28" s="227" customFormat="1" ht="20.399999999999999">
      <c r="A130" s="181" t="s">
        <v>393</v>
      </c>
      <c r="B130" s="182" t="s">
        <v>1128</v>
      </c>
      <c r="C130" s="186" t="s">
        <v>392</v>
      </c>
      <c r="D130" s="230"/>
      <c r="E130" s="182" t="s">
        <v>1096</v>
      </c>
      <c r="F130" s="182" t="s">
        <v>393</v>
      </c>
      <c r="G130" s="182" t="s">
        <v>13240</v>
      </c>
      <c r="H130" s="183">
        <v>0</v>
      </c>
      <c r="I130" s="184" t="s">
        <v>1773</v>
      </c>
      <c r="J130" s="184" t="s">
        <v>13619</v>
      </c>
      <c r="K130" s="224"/>
      <c r="L130" s="224"/>
      <c r="M130" s="224"/>
      <c r="N130" s="224"/>
      <c r="O130" s="224"/>
      <c r="P130" s="185"/>
      <c r="Q130" s="225"/>
      <c r="R130" s="182" t="str">
        <f ca="1">IF(ISERROR($V130),"",OFFSET('Smelter Look-up'!$C$4,$V130-4,0)&amp;"")</f>
        <v>Ganzhou Seadragon W &amp; Mo Co., Ltd.</v>
      </c>
      <c r="S130" s="181" t="str">
        <f t="shared" ca="1" si="15"/>
        <v>CN</v>
      </c>
      <c r="T130" s="181" t="str">
        <f ca="1">IF(B130="","",IF(ISERROR(MATCH($J130,SorP!$B$1:$B$6279,0)),"",INDIRECT("'SorP'!$A$"&amp;MATCH($S130&amp;$J130,SorP!C:C,0))))</f>
        <v>CN-JX</v>
      </c>
      <c r="U130" s="201"/>
      <c r="V130" s="226">
        <f>IF(C130="",NA(),IF(OR(C130="Smelter not listed",C130="Smelter not yet identified"),MATCH($B130&amp;$D130,'Smelter Look-up'!$J:$J,0),MATCH($B130&amp;$C130,'Smelter Look-up'!$J:$J,0)))</f>
        <v>583</v>
      </c>
      <c r="X130" s="227">
        <f t="shared" si="16"/>
        <v>0</v>
      </c>
      <c r="AB130" s="228" t="str">
        <f t="shared" si="17"/>
        <v>TungstenGanzhou Seadragon W &amp; Mo Co., Ltd.</v>
      </c>
    </row>
    <row r="131" spans="1:28" s="227" customFormat="1" ht="37.799999999999997">
      <c r="A131" s="181" t="s">
        <v>764</v>
      </c>
      <c r="B131" s="182" t="s">
        <v>1126</v>
      </c>
      <c r="C131" s="186" t="s">
        <v>838</v>
      </c>
      <c r="D131" s="230"/>
      <c r="E131" s="182" t="s">
        <v>2430</v>
      </c>
      <c r="F131" s="182" t="s">
        <v>764</v>
      </c>
      <c r="G131" s="182" t="s">
        <v>13240</v>
      </c>
      <c r="H131" s="183">
        <v>0</v>
      </c>
      <c r="I131" s="184" t="s">
        <v>1769</v>
      </c>
      <c r="J131" s="184" t="s">
        <v>1769</v>
      </c>
      <c r="K131" s="224"/>
      <c r="L131" s="224"/>
      <c r="M131" s="224"/>
      <c r="N131" s="224"/>
      <c r="O131" s="224"/>
      <c r="P131" s="185"/>
      <c r="Q131" s="225"/>
      <c r="R131" s="182" t="str">
        <f ca="1">IF(ISERROR($V131),"",OFFSET('Smelter Look-up'!$C$4,$V131-4,0)&amp;"")</f>
        <v>EM Vinto</v>
      </c>
      <c r="S131" s="181" t="str">
        <f t="shared" ca="1" si="15"/>
        <v>BO</v>
      </c>
      <c r="T131" s="181" t="str">
        <f ca="1">IF(B131="","",IF(ISERROR(MATCH($J131,SorP!$B$1:$B$6279,0)),"",INDIRECT("'SorP'!$A$"&amp;MATCH($S131&amp;$J131,SorP!C:C,0))))</f>
        <v>BO-O</v>
      </c>
      <c r="U131" s="201"/>
      <c r="V131" s="226">
        <f>IF(C131="",NA(),IF(OR(C131="Smelter not listed",C131="Smelter not yet identified"),MATCH($B131&amp;$D131,'Smelter Look-up'!$J:$J,0),MATCH($B131&amp;$C131,'Smelter Look-up'!$J:$J,0)))</f>
        <v>421</v>
      </c>
      <c r="X131" s="227">
        <f t="shared" si="16"/>
        <v>0</v>
      </c>
      <c r="AB131" s="228" t="str">
        <f t="shared" si="17"/>
        <v>TinEM Vinto</v>
      </c>
    </row>
    <row r="132" spans="1:28" s="227" customFormat="1" ht="20.399999999999999">
      <c r="A132" s="181" t="s">
        <v>784</v>
      </c>
      <c r="B132" s="182" t="s">
        <v>1126</v>
      </c>
      <c r="C132" s="186" t="s">
        <v>1027</v>
      </c>
      <c r="D132" s="230"/>
      <c r="E132" s="182" t="s">
        <v>884</v>
      </c>
      <c r="F132" s="182" t="s">
        <v>784</v>
      </c>
      <c r="G132" s="182" t="s">
        <v>13240</v>
      </c>
      <c r="H132" s="183">
        <v>0</v>
      </c>
      <c r="I132" s="184" t="s">
        <v>1795</v>
      </c>
      <c r="J132" s="184" t="s">
        <v>1796</v>
      </c>
      <c r="K132" s="224"/>
      <c r="L132" s="224"/>
      <c r="M132" s="224"/>
      <c r="N132" s="224"/>
      <c r="O132" s="224"/>
      <c r="P132" s="185"/>
      <c r="Q132" s="225"/>
      <c r="R132" s="182" t="str">
        <f ca="1">IF(ISERROR($V132),"",OFFSET('Smelter Look-up'!$C$4,$V132-4,0)&amp;"")</f>
        <v>Thaisarco</v>
      </c>
      <c r="S132" s="181" t="str">
        <f t="shared" ca="1" si="15"/>
        <v>TH</v>
      </c>
      <c r="T132" s="181" t="str">
        <f ca="1">IF(B132="","",IF(ISERROR(MATCH($J132,SorP!$B$1:$B$6279,0)),"",INDIRECT("'SorP'!$A$"&amp;MATCH($S132&amp;$J132,SorP!C:C,0))))</f>
        <v>TH-83</v>
      </c>
      <c r="U132" s="201"/>
      <c r="V132" s="226">
        <f>IF(C132="",NA(),IF(OR(C132="Smelter not listed",C132="Smelter not yet identified"),MATCH($B132&amp;$D132,'Smelter Look-up'!$J:$J,0),MATCH($B132&amp;$C132,'Smelter Look-up'!$J:$J,0)))</f>
        <v>526</v>
      </c>
      <c r="X132" s="227">
        <f t="shared" si="16"/>
        <v>0</v>
      </c>
      <c r="AB132" s="228" t="str">
        <f t="shared" si="17"/>
        <v>TinThaisarco</v>
      </c>
    </row>
    <row r="133" spans="1:28" s="227" customFormat="1" ht="20.399999999999999">
      <c r="A133" s="181" t="s">
        <v>766</v>
      </c>
      <c r="B133" s="182" t="s">
        <v>1126</v>
      </c>
      <c r="C133" s="186" t="s">
        <v>811</v>
      </c>
      <c r="D133" s="230"/>
      <c r="E133" s="182" t="s">
        <v>878</v>
      </c>
      <c r="F133" s="182" t="s">
        <v>766</v>
      </c>
      <c r="G133" s="182" t="s">
        <v>13240</v>
      </c>
      <c r="H133" s="183">
        <v>0</v>
      </c>
      <c r="I133" s="184" t="s">
        <v>1771</v>
      </c>
      <c r="J133" s="184" t="s">
        <v>9501</v>
      </c>
      <c r="K133" s="224"/>
      <c r="L133" s="224"/>
      <c r="M133" s="224"/>
      <c r="N133" s="224"/>
      <c r="O133" s="224"/>
      <c r="P133" s="185"/>
      <c r="Q133" s="225"/>
      <c r="R133" s="182" t="str">
        <f ca="1">IF(ISERROR($V133),"",OFFSET('Smelter Look-up'!$C$4,$V133-4,0)&amp;"")</f>
        <v>Fenix Metals</v>
      </c>
      <c r="S133" s="181" t="str">
        <f t="shared" ref="S133" ca="1" si="18">IF(B133="","",IF(ISERROR(MATCH($E133,CL,0)),"Unknown",INDIRECT("'C'!$A$"&amp;MATCH($E133,CL,0)+1)))</f>
        <v>PL</v>
      </c>
      <c r="T133" s="181" t="str">
        <f ca="1">IF(B133="","",IF(ISERROR(MATCH($J133,SorP!$B$1:$B$6279,0)),"",INDIRECT("'SorP'!$A$"&amp;MATCH($S133&amp;$J133,SorP!C:C,0))))</f>
        <v>PL-18</v>
      </c>
      <c r="U133" s="201"/>
      <c r="V133" s="226">
        <f>IF(C133="",NA(),IF(OR(C133="Smelter not listed",C133="Smelter not yet identified"),MATCH($B133&amp;$D133,'Smelter Look-up'!$J:$J,0),MATCH($B133&amp;$C133,'Smelter Look-up'!$J:$J,0)))</f>
        <v>430</v>
      </c>
      <c r="X133" s="227">
        <f t="shared" ref="X133" si="19">IF(AND(C133="Smelter not listed",OR(LEN(D133)=0,LEN(E133)=0)),1,0)</f>
        <v>0</v>
      </c>
      <c r="AB133" s="228" t="str">
        <f t="shared" ref="AB133" si="20">B133&amp;C133</f>
        <v>TinFenix Metals</v>
      </c>
    </row>
    <row r="134" spans="1:28" s="227" customFormat="1" ht="25.2">
      <c r="A134" s="181" t="s">
        <v>781</v>
      </c>
      <c r="B134" s="182" t="s">
        <v>1126</v>
      </c>
      <c r="C134" s="186" t="s">
        <v>13801</v>
      </c>
      <c r="D134" s="230"/>
      <c r="E134" s="182" t="s">
        <v>1101</v>
      </c>
      <c r="F134" s="182" t="s">
        <v>781</v>
      </c>
      <c r="G134" s="182" t="s">
        <v>13240</v>
      </c>
      <c r="H134" s="183">
        <v>0</v>
      </c>
      <c r="I134" s="184" t="s">
        <v>1794</v>
      </c>
      <c r="J134" s="184" t="s">
        <v>12852</v>
      </c>
      <c r="K134" s="224"/>
      <c r="L134" s="224"/>
      <c r="M134" s="224"/>
      <c r="N134" s="224"/>
      <c r="O134" s="224"/>
      <c r="P134" s="185"/>
      <c r="Q134" s="225"/>
      <c r="R134" s="182" t="str">
        <f ca="1">IF(ISERROR($V134),"",OFFSET('Smelter Look-up'!$C$4,$V134-4,0)&amp;"")</f>
        <v>PT Timah Tbk Mentok</v>
      </c>
      <c r="S134" s="181" t="str">
        <f t="shared" ref="S134:S165" ca="1" si="21">IF(B134="","",IF(ISERROR(MATCH($E134,CL,0)),"Unknown",INDIRECT("'C'!$A$"&amp;MATCH($E134,CL,0)+1)))</f>
        <v>ID</v>
      </c>
      <c r="T134" s="181" t="str">
        <f ca="1">IF(B134="","",IF(ISERROR(MATCH($J134,SorP!$B$1:$B$6279,0)),"",INDIRECT("'SorP'!$A$"&amp;MATCH($S134&amp;$J134,SorP!C:C,0))))</f>
        <v>ID-BB</v>
      </c>
      <c r="U134" s="201"/>
      <c r="V134" s="226">
        <f>IF(C134="",NA(),IF(OR(C134="Smelter not listed",C134="Smelter not yet identified"),MATCH($B134&amp;$D134,'Smelter Look-up'!$J:$J,0),MATCH($B134&amp;$C134,'Smelter Look-up'!$J:$J,0)))</f>
        <v>514</v>
      </c>
      <c r="X134" s="227">
        <f t="shared" ref="X134:X165" si="22">IF(AND(C134="Smelter not listed",OR(LEN(D134)=0,LEN(E134)=0)),1,0)</f>
        <v>0</v>
      </c>
      <c r="AB134" s="228" t="str">
        <f t="shared" ref="AB134:AB165" si="23">B134&amp;C134</f>
        <v>TinPT Timah Tbk Mentok</v>
      </c>
    </row>
    <row r="135" spans="1:28" s="227" customFormat="1" ht="25.2">
      <c r="A135" s="181" t="s">
        <v>779</v>
      </c>
      <c r="B135" s="182" t="s">
        <v>1126</v>
      </c>
      <c r="C135" s="186" t="s">
        <v>627</v>
      </c>
      <c r="D135" s="230"/>
      <c r="E135" s="182" t="s">
        <v>1101</v>
      </c>
      <c r="F135" s="182" t="s">
        <v>779</v>
      </c>
      <c r="G135" s="182" t="s">
        <v>13240</v>
      </c>
      <c r="H135" s="183">
        <v>0</v>
      </c>
      <c r="I135" s="184" t="s">
        <v>1767</v>
      </c>
      <c r="J135" s="184" t="s">
        <v>12852</v>
      </c>
      <c r="K135" s="224"/>
      <c r="L135" s="224"/>
      <c r="M135" s="224"/>
      <c r="N135" s="224"/>
      <c r="O135" s="224"/>
      <c r="P135" s="185"/>
      <c r="Q135" s="225"/>
      <c r="R135" s="182" t="str">
        <f ca="1">IF(ISERROR($V135),"",OFFSET('Smelter Look-up'!$C$4,$V135-4,0)&amp;"")</f>
        <v>PT Mitra Stania Prima</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500</v>
      </c>
      <c r="X135" s="227">
        <f t="shared" si="22"/>
        <v>0</v>
      </c>
      <c r="AB135" s="228" t="str">
        <f t="shared" si="23"/>
        <v>TinPT Mitra Stania Prima</v>
      </c>
    </row>
    <row r="136" spans="1:28" s="227" customFormat="1" ht="37.799999999999997">
      <c r="A136" s="181" t="s">
        <v>777</v>
      </c>
      <c r="B136" s="182" t="s">
        <v>1126</v>
      </c>
      <c r="C136" s="186" t="s">
        <v>13803</v>
      </c>
      <c r="D136" s="230"/>
      <c r="E136" s="182" t="s">
        <v>2430</v>
      </c>
      <c r="F136" s="182" t="s">
        <v>777</v>
      </c>
      <c r="G136" s="182" t="s">
        <v>13240</v>
      </c>
      <c r="H136" s="183">
        <v>0</v>
      </c>
      <c r="I136" s="184" t="s">
        <v>1769</v>
      </c>
      <c r="J136" s="184" t="s">
        <v>1769</v>
      </c>
      <c r="K136" s="224"/>
      <c r="L136" s="224"/>
      <c r="M136" s="224"/>
      <c r="N136" s="224"/>
      <c r="O136" s="224"/>
      <c r="P136" s="185"/>
      <c r="Q136" s="225"/>
      <c r="R136" s="182" t="str">
        <f ca="1">IF(ISERROR($V136),"",OFFSET('Smelter Look-up'!$C$4,$V136-4,0)&amp;"")</f>
        <v>Operaciones Metalurgicas S.A.</v>
      </c>
      <c r="S136" s="181" t="str">
        <f t="shared" ca="1" si="21"/>
        <v>BO</v>
      </c>
      <c r="T136" s="181" t="str">
        <f ca="1">IF(B136="","",IF(ISERROR(MATCH($J136,SorP!$B$1:$B$6279,0)),"",INDIRECT("'SorP'!$A$"&amp;MATCH($S136&amp;$J136,SorP!C:C,0))))</f>
        <v>BO-O</v>
      </c>
      <c r="U136" s="201"/>
      <c r="V136" s="226">
        <f>IF(C136="",NA(),IF(OR(C136="Smelter not listed",C136="Smelter not yet identified"),MATCH($B136&amp;$D136,'Smelter Look-up'!$J:$J,0),MATCH($B136&amp;$C136,'Smelter Look-up'!$J:$J,0)))</f>
        <v>482</v>
      </c>
      <c r="X136" s="227">
        <f t="shared" si="22"/>
        <v>0</v>
      </c>
      <c r="AB136" s="228" t="str">
        <f t="shared" si="23"/>
        <v>TinOperaciones Metalurgicas S.A.</v>
      </c>
    </row>
    <row r="137" spans="1:28" s="227" customFormat="1" ht="20.399999999999999">
      <c r="A137" s="181" t="s">
        <v>787</v>
      </c>
      <c r="B137" s="182" t="s">
        <v>1126</v>
      </c>
      <c r="C137" s="186" t="s">
        <v>15472</v>
      </c>
      <c r="D137" s="230"/>
      <c r="E137" s="182" t="s">
        <v>1096</v>
      </c>
      <c r="F137" s="182" t="s">
        <v>787</v>
      </c>
      <c r="G137" s="182" t="s">
        <v>13240</v>
      </c>
      <c r="H137" s="183">
        <v>0</v>
      </c>
      <c r="I137" s="184" t="s">
        <v>2446</v>
      </c>
      <c r="J137" s="184" t="s">
        <v>13628</v>
      </c>
      <c r="K137" s="224"/>
      <c r="L137" s="224"/>
      <c r="M137" s="224"/>
      <c r="N137" s="224"/>
      <c r="O137" s="224"/>
      <c r="P137" s="185"/>
      <c r="Q137" s="225"/>
      <c r="R137" s="182" t="str">
        <f ca="1">IF(ISERROR($V137),"",OFFSET('Smelter Look-up'!$C$4,$V137-4,0)&amp;"")</f>
        <v>Tin Smelting Branch of Yunnan Tin Co., Ltd.</v>
      </c>
      <c r="S137" s="181" t="str">
        <f t="shared" ca="1" si="21"/>
        <v>CN</v>
      </c>
      <c r="T137" s="181" t="str">
        <f ca="1">IF(B137="","",IF(ISERROR(MATCH($J137,SorP!$B$1:$B$6279,0)),"",INDIRECT("'SorP'!$A$"&amp;MATCH($S137&amp;$J137,SorP!C:C,0))))</f>
        <v>CN-YN</v>
      </c>
      <c r="U137" s="201"/>
      <c r="V137" s="226">
        <f>IF(C137="",NA(),IF(OR(C137="Smelter not listed",C137="Smelter not yet identified"),MATCH($B137&amp;$D137,'Smelter Look-up'!$J:$J,0),MATCH($B137&amp;$C137,'Smelter Look-up'!$J:$J,0)))</f>
        <v>529</v>
      </c>
      <c r="X137" s="227">
        <f t="shared" si="22"/>
        <v>0</v>
      </c>
      <c r="AB137" s="228" t="str">
        <f t="shared" si="23"/>
        <v>TinTin Smelting Branch of Yunnan Tin Co., Ltd.</v>
      </c>
    </row>
    <row r="138" spans="1:28" s="227" customFormat="1" ht="20.399999999999999">
      <c r="A138" s="181" t="s">
        <v>785</v>
      </c>
      <c r="B138" s="182" t="s">
        <v>1126</v>
      </c>
      <c r="C138" s="186" t="s">
        <v>2532</v>
      </c>
      <c r="D138" s="230"/>
      <c r="E138" s="182" t="s">
        <v>1092</v>
      </c>
      <c r="F138" s="182" t="s">
        <v>785</v>
      </c>
      <c r="G138" s="182" t="s">
        <v>13240</v>
      </c>
      <c r="H138" s="183">
        <v>0</v>
      </c>
      <c r="I138" s="184" t="s">
        <v>1766</v>
      </c>
      <c r="J138" s="184" t="s">
        <v>1770</v>
      </c>
      <c r="K138" s="224"/>
      <c r="L138" s="224"/>
      <c r="M138" s="224"/>
      <c r="N138" s="224"/>
      <c r="O138" s="224"/>
      <c r="P138" s="185"/>
      <c r="Q138" s="225"/>
      <c r="R138" s="182" t="str">
        <f ca="1">IF(ISERROR($V138),"",OFFSET('Smelter Look-up'!$C$4,$V138-4,0)&amp;"")</f>
        <v>White Solder Metalurgia e Mineracao Ltda.</v>
      </c>
      <c r="S138" s="181" t="str">
        <f t="shared" ca="1" si="21"/>
        <v>BR</v>
      </c>
      <c r="T138" s="181" t="str">
        <f ca="1">IF(B138="","",IF(ISERROR(MATCH($J138,SorP!$B$1:$B$6279,0)),"",INDIRECT("'SorP'!$A$"&amp;MATCH($S138&amp;$J138,SorP!C:C,0))))</f>
        <v>BR-RO</v>
      </c>
      <c r="U138" s="201"/>
      <c r="V138" s="226">
        <f>IF(C138="",NA(),IF(OR(C138="Smelter not listed",C138="Smelter not yet identified"),MATCH($B138&amp;$D138,'Smelter Look-up'!$J:$J,0),MATCH($B138&amp;$C138,'Smelter Look-up'!$J:$J,0)))</f>
        <v>535</v>
      </c>
      <c r="X138" s="227">
        <f t="shared" si="22"/>
        <v>0</v>
      </c>
      <c r="AB138" s="228" t="str">
        <f t="shared" si="23"/>
        <v>TinWhite Solder Metalurgia e Mineracao Ltda.</v>
      </c>
    </row>
    <row r="139" spans="1:28" s="227" customFormat="1" ht="25.2">
      <c r="A139" s="181" t="s">
        <v>778</v>
      </c>
      <c r="B139" s="182" t="s">
        <v>1126</v>
      </c>
      <c r="C139" s="186" t="s">
        <v>840</v>
      </c>
      <c r="D139" s="230"/>
      <c r="E139" s="182" t="s">
        <v>1101</v>
      </c>
      <c r="F139" s="182" t="s">
        <v>778</v>
      </c>
      <c r="G139" s="182" t="s">
        <v>13240</v>
      </c>
      <c r="H139" s="183">
        <v>0</v>
      </c>
      <c r="I139" s="184" t="s">
        <v>1767</v>
      </c>
      <c r="J139" s="184" t="s">
        <v>12852</v>
      </c>
      <c r="K139" s="224"/>
      <c r="L139" s="224"/>
      <c r="M139" s="224"/>
      <c r="N139" s="224"/>
      <c r="O139" s="224"/>
      <c r="P139" s="185"/>
      <c r="Q139" s="225"/>
      <c r="R139" s="182" t="str">
        <f ca="1">IF(ISERROR($V139),"",OFFSET('Smelter Look-up'!$C$4,$V139-4,0)&amp;"")</f>
        <v>PT Artha Cipta Langgeng</v>
      </c>
      <c r="S139" s="181" t="str">
        <f t="shared" ca="1" si="21"/>
        <v>ID</v>
      </c>
      <c r="T139" s="181" t="str">
        <f ca="1">IF(B139="","",IF(ISERROR(MATCH($J139,SorP!$B$1:$B$6279,0)),"",INDIRECT("'SorP'!$A$"&amp;MATCH($S139&amp;$J139,SorP!C:C,0))))</f>
        <v>ID-BB</v>
      </c>
      <c r="U139" s="201"/>
      <c r="V139" s="226">
        <f>IF(C139="",NA(),IF(OR(C139="Smelter not listed",C139="Smelter not yet identified"),MATCH($B139&amp;$D139,'Smelter Look-up'!$J:$J,0),MATCH($B139&amp;$C139,'Smelter Look-up'!$J:$J,0)))</f>
        <v>487</v>
      </c>
      <c r="X139" s="227">
        <f t="shared" si="22"/>
        <v>0</v>
      </c>
      <c r="AB139" s="228" t="str">
        <f t="shared" si="23"/>
        <v>TinPT Artha Cipta Langgeng</v>
      </c>
    </row>
    <row r="140" spans="1:28" s="227" customFormat="1" ht="25.2">
      <c r="A140" s="181" t="s">
        <v>1399</v>
      </c>
      <c r="B140" s="182" t="s">
        <v>1126</v>
      </c>
      <c r="C140" s="186" t="s">
        <v>1398</v>
      </c>
      <c r="D140" s="230"/>
      <c r="E140" s="182" t="s">
        <v>1101</v>
      </c>
      <c r="F140" s="182" t="s">
        <v>1399</v>
      </c>
      <c r="G140" s="182" t="s">
        <v>13240</v>
      </c>
      <c r="H140" s="183">
        <v>0</v>
      </c>
      <c r="I140" s="184" t="s">
        <v>1767</v>
      </c>
      <c r="J140" s="184" t="s">
        <v>12852</v>
      </c>
      <c r="K140" s="224"/>
      <c r="L140" s="224"/>
      <c r="M140" s="224"/>
      <c r="N140" s="224"/>
      <c r="O140" s="224"/>
      <c r="P140" s="185"/>
      <c r="Q140" s="225"/>
      <c r="R140" s="182" t="str">
        <f ca="1">IF(ISERROR($V140),"",OFFSET('Smelter Look-up'!$C$4,$V140-4,0)&amp;"")</f>
        <v>PT ATD Makmur Mandiri Jaya</v>
      </c>
      <c r="S140" s="181" t="str">
        <f t="shared" ca="1" si="21"/>
        <v>ID</v>
      </c>
      <c r="T140" s="181" t="str">
        <f ca="1">IF(B140="","",IF(ISERROR(MATCH($J140,SorP!$B$1:$B$6279,0)),"",INDIRECT("'SorP'!$A$"&amp;MATCH($S140&amp;$J140,SorP!C:C,0))))</f>
        <v>ID-BB</v>
      </c>
      <c r="U140" s="201"/>
      <c r="V140" s="226">
        <f>IF(C140="",NA(),IF(OR(C140="Smelter not listed",C140="Smelter not yet identified"),MATCH($B140&amp;$D140,'Smelter Look-up'!$J:$J,0),MATCH($B140&amp;$C140,'Smelter Look-up'!$J:$J,0)))</f>
        <v>488</v>
      </c>
      <c r="X140" s="227">
        <f t="shared" si="22"/>
        <v>0</v>
      </c>
      <c r="AB140" s="228" t="str">
        <f t="shared" si="23"/>
        <v>TinPT ATD Makmur Mandiri Jaya</v>
      </c>
    </row>
    <row r="141" spans="1:28" s="227" customFormat="1" ht="25.2">
      <c r="A141" s="181" t="s">
        <v>14029</v>
      </c>
      <c r="B141" s="182" t="s">
        <v>1126</v>
      </c>
      <c r="C141" s="186" t="s">
        <v>12936</v>
      </c>
      <c r="D141" s="230"/>
      <c r="E141" s="182" t="s">
        <v>1101</v>
      </c>
      <c r="F141" s="182" t="s">
        <v>14029</v>
      </c>
      <c r="G141" s="182" t="s">
        <v>13240</v>
      </c>
      <c r="H141" s="183">
        <v>0</v>
      </c>
      <c r="I141" s="184" t="s">
        <v>15147</v>
      </c>
      <c r="J141" s="184" t="s">
        <v>12852</v>
      </c>
      <c r="K141" s="224"/>
      <c r="L141" s="224"/>
      <c r="M141" s="224"/>
      <c r="N141" s="224"/>
      <c r="O141" s="224"/>
      <c r="P141" s="185"/>
      <c r="Q141" s="225"/>
      <c r="R141" s="182" t="str">
        <f ca="1">IF(ISERROR($V141),"",OFFSET('Smelter Look-up'!$C$4,$V141-4,0)&amp;"")</f>
        <v>PT Bangka Serumpun</v>
      </c>
      <c r="S141" s="181" t="str">
        <f t="shared" ca="1" si="21"/>
        <v>ID</v>
      </c>
      <c r="T141" s="181" t="str">
        <f ca="1">IF(B141="","",IF(ISERROR(MATCH($J141,SorP!$B$1:$B$6279,0)),"",INDIRECT("'SorP'!$A$"&amp;MATCH($S141&amp;$J141,SorP!C:C,0))))</f>
        <v>ID-BB</v>
      </c>
      <c r="U141" s="201"/>
      <c r="V141" s="226">
        <f>IF(C141="",NA(),IF(OR(C141="Smelter not listed",C141="Smelter not yet identified"),MATCH($B141&amp;$D141,'Smelter Look-up'!$J:$J,0),MATCH($B141&amp;$C141,'Smelter Look-up'!$J:$J,0)))</f>
        <v>492</v>
      </c>
      <c r="X141" s="227">
        <f t="shared" si="22"/>
        <v>0</v>
      </c>
      <c r="AB141" s="228" t="str">
        <f t="shared" si="23"/>
        <v>TinPT Bangka Serumpun</v>
      </c>
    </row>
    <row r="142" spans="1:28" s="227" customFormat="1" ht="25.2">
      <c r="A142" s="181" t="s">
        <v>1781</v>
      </c>
      <c r="B142" s="182" t="s">
        <v>1126</v>
      </c>
      <c r="C142" s="186" t="s">
        <v>2149</v>
      </c>
      <c r="D142" s="230"/>
      <c r="E142" s="182" t="s">
        <v>2432</v>
      </c>
      <c r="F142" s="182" t="s">
        <v>1781</v>
      </c>
      <c r="G142" s="182" t="s">
        <v>13240</v>
      </c>
      <c r="H142" s="183">
        <v>0</v>
      </c>
      <c r="I142" s="184" t="s">
        <v>1782</v>
      </c>
      <c r="J142" s="184" t="s">
        <v>1635</v>
      </c>
      <c r="K142" s="224"/>
      <c r="L142" s="224"/>
      <c r="M142" s="224"/>
      <c r="N142" s="224"/>
      <c r="O142" s="224"/>
      <c r="P142" s="185"/>
      <c r="Q142" s="225"/>
      <c r="R142" s="182" t="str">
        <f ca="1">IF(ISERROR($V142),"",OFFSET('Smelter Look-up'!$C$4,$V142-4,0)&amp;"")</f>
        <v>Metallic Resources, Inc.</v>
      </c>
      <c r="S142" s="181" t="str">
        <f t="shared" ca="1" si="21"/>
        <v>US</v>
      </c>
      <c r="T142" s="181" t="str">
        <f ca="1">IF(B142="","",IF(ISERROR(MATCH($J142,SorP!$B$1:$B$6279,0)),"",INDIRECT("'SorP'!$A$"&amp;MATCH($S142&amp;$J142,SorP!C:C,0))))</f>
        <v>US-OH</v>
      </c>
      <c r="U142" s="201"/>
      <c r="V142" s="226">
        <f>IF(C142="",NA(),IF(OR(C142="Smelter not listed",C142="Smelter not yet identified"),MATCH($B142&amp;$D142,'Smelter Look-up'!$J:$J,0),MATCH($B142&amp;$C142,'Smelter Look-up'!$J:$J,0)))</f>
        <v>462</v>
      </c>
      <c r="X142" s="227">
        <f t="shared" si="22"/>
        <v>0</v>
      </c>
      <c r="AB142" s="228" t="str">
        <f t="shared" si="23"/>
        <v>TinMetallic Resources, Inc.</v>
      </c>
    </row>
    <row r="143" spans="1:28" s="227" customFormat="1" ht="20.399999999999999">
      <c r="A143" s="181" t="s">
        <v>774</v>
      </c>
      <c r="B143" s="182" t="s">
        <v>1126</v>
      </c>
      <c r="C143" s="186" t="s">
        <v>1159</v>
      </c>
      <c r="D143" s="230"/>
      <c r="E143" s="182" t="s">
        <v>1104</v>
      </c>
      <c r="F143" s="182" t="s">
        <v>774</v>
      </c>
      <c r="G143" s="182" t="s">
        <v>13240</v>
      </c>
      <c r="H143" s="183">
        <v>0</v>
      </c>
      <c r="I143" s="184" t="s">
        <v>1541</v>
      </c>
      <c r="J143" s="184" t="s">
        <v>1541</v>
      </c>
      <c r="K143" s="224"/>
      <c r="L143" s="224"/>
      <c r="M143" s="224"/>
      <c r="N143" s="224"/>
      <c r="O143" s="224"/>
      <c r="P143" s="185"/>
      <c r="Q143" s="225"/>
      <c r="R143" s="182" t="str">
        <f ca="1">IF(ISERROR($V143),"",OFFSET('Smelter Look-up'!$C$4,$V143-4,0)&amp;"")</f>
        <v>Mitsubishi Materials Corporation</v>
      </c>
      <c r="S143" s="181" t="str">
        <f t="shared" ca="1" si="21"/>
        <v>JP</v>
      </c>
      <c r="T143" s="181" t="str">
        <f ca="1">IF(B143="","",IF(ISERROR(MATCH($J143,SorP!$B$1:$B$6279,0)),"",INDIRECT("'SorP'!$A$"&amp;MATCH($S143&amp;$J143,SorP!C:C,0))))</f>
        <v>JP-13</v>
      </c>
      <c r="U143" s="201"/>
      <c r="V143" s="226">
        <f>IF(C143="",NA(),IF(OR(C143="Smelter not listed",C143="Smelter not yet identified"),MATCH($B143&amp;$D143,'Smelter Look-up'!$J:$J,0),MATCH($B143&amp;$C143,'Smelter Look-up'!$J:$J,0)))</f>
        <v>471</v>
      </c>
      <c r="X143" s="227">
        <f t="shared" si="22"/>
        <v>0</v>
      </c>
      <c r="AB143" s="228" t="str">
        <f t="shared" si="23"/>
        <v>TinMitsubishi Materials Corporation</v>
      </c>
    </row>
    <row r="144" spans="1:28" s="227" customFormat="1" ht="20.399999999999999">
      <c r="A144" s="181" t="s">
        <v>2529</v>
      </c>
      <c r="B144" s="182" t="s">
        <v>1126</v>
      </c>
      <c r="C144" s="186" t="s">
        <v>2528</v>
      </c>
      <c r="D144" s="230"/>
      <c r="E144" s="182" t="s">
        <v>1096</v>
      </c>
      <c r="F144" s="182" t="s">
        <v>2529</v>
      </c>
      <c r="G144" s="182" t="s">
        <v>13240</v>
      </c>
      <c r="H144" s="183">
        <v>0</v>
      </c>
      <c r="I144" s="184" t="s">
        <v>1824</v>
      </c>
      <c r="J144" s="184" t="s">
        <v>13624</v>
      </c>
      <c r="K144" s="224"/>
      <c r="L144" s="224"/>
      <c r="M144" s="224"/>
      <c r="N144" s="224"/>
      <c r="O144" s="224"/>
      <c r="P144" s="185"/>
      <c r="Q144" s="225"/>
      <c r="R144" s="182" t="str">
        <f ca="1">IF(ISERROR($V144),"",OFFSET('Smelter Look-up'!$C$4,$V144-4,0)&amp;"")</f>
        <v>Guangdong Hanhe Non-Ferrous Metal Co., Ltd.</v>
      </c>
      <c r="S144" s="181" t="str">
        <f t="shared" ca="1" si="21"/>
        <v>CN</v>
      </c>
      <c r="T144" s="181" t="str">
        <f ca="1">IF(B144="","",IF(ISERROR(MATCH($J144,SorP!$B$1:$B$6279,0)),"",INDIRECT("'SorP'!$A$"&amp;MATCH($S144&amp;$J144,SorP!C:C,0))))</f>
        <v>CN-GD</v>
      </c>
      <c r="U144" s="201"/>
      <c r="V144" s="226">
        <f>IF(C144="",NA(),IF(OR(C144="Smelter not listed",C144="Smelter not yet identified"),MATCH($B144&amp;$D144,'Smelter Look-up'!$J:$J,0),MATCH($B144&amp;$C144,'Smelter Look-up'!$J:$J,0)))</f>
        <v>442</v>
      </c>
      <c r="X144" s="227">
        <f t="shared" si="22"/>
        <v>0</v>
      </c>
      <c r="AB144" s="228" t="str">
        <f t="shared" si="23"/>
        <v>TinGuangdong Hanhe Non-Ferrous Metal Co., Ltd.</v>
      </c>
    </row>
    <row r="145" spans="1:28" s="227" customFormat="1" ht="20.399999999999999">
      <c r="A145" s="181" t="s">
        <v>767</v>
      </c>
      <c r="B145" s="182" t="s">
        <v>1126</v>
      </c>
      <c r="C145" s="186" t="s">
        <v>2144</v>
      </c>
      <c r="D145" s="230"/>
      <c r="E145" s="182" t="s">
        <v>1096</v>
      </c>
      <c r="F145" s="182" t="s">
        <v>767</v>
      </c>
      <c r="G145" s="182" t="s">
        <v>13240</v>
      </c>
      <c r="H145" s="183">
        <v>0</v>
      </c>
      <c r="I145" s="184" t="s">
        <v>2446</v>
      </c>
      <c r="J145" s="184" t="s">
        <v>13628</v>
      </c>
      <c r="K145" s="224"/>
      <c r="L145" s="224"/>
      <c r="M145" s="224"/>
      <c r="N145" s="224"/>
      <c r="O145" s="224"/>
      <c r="P145" s="185"/>
      <c r="Q145" s="225"/>
      <c r="R145" s="182" t="str">
        <f ca="1">IF(ISERROR($V145),"",OFFSET('Smelter Look-up'!$C$4,$V145-4,0)&amp;"")</f>
        <v>Gejiu Non-Ferrous Metal Processing Co., Ltd.</v>
      </c>
      <c r="S145" s="181" t="str">
        <f t="shared" ca="1" si="21"/>
        <v>CN</v>
      </c>
      <c r="T145" s="181" t="str">
        <f ca="1">IF(B145="","",IF(ISERROR(MATCH($J145,SorP!$B$1:$B$6279,0)),"",INDIRECT("'SorP'!$A$"&amp;MATCH($S145&amp;$J145,SorP!C:C,0))))</f>
        <v>CN-YN</v>
      </c>
      <c r="U145" s="201"/>
      <c r="V145" s="226">
        <f>IF(C145="",NA(),IF(OR(C145="Smelter not listed",C145="Smelter not yet identified"),MATCH($B145&amp;$D145,'Smelter Look-up'!$J:$J,0),MATCH($B145&amp;$C145,'Smelter Look-up'!$J:$J,0)))</f>
        <v>436</v>
      </c>
      <c r="X145" s="227">
        <f t="shared" si="22"/>
        <v>0</v>
      </c>
      <c r="AB145" s="228" t="str">
        <f t="shared" si="23"/>
        <v>TinGejiu Non-Ferrous Metal Processing Co., Ltd.</v>
      </c>
    </row>
    <row r="146" spans="1:28" s="227" customFormat="1" ht="25.2">
      <c r="A146" s="181" t="s">
        <v>770</v>
      </c>
      <c r="B146" s="182" t="s">
        <v>1126</v>
      </c>
      <c r="C146" s="186" t="s">
        <v>1322</v>
      </c>
      <c r="D146" s="230"/>
      <c r="E146" s="182" t="s">
        <v>1096</v>
      </c>
      <c r="F146" s="182" t="s">
        <v>770</v>
      </c>
      <c r="G146" s="182" t="s">
        <v>13240</v>
      </c>
      <c r="H146" s="183">
        <v>0</v>
      </c>
      <c r="I146" s="184" t="s">
        <v>1775</v>
      </c>
      <c r="J146" s="184" t="s">
        <v>13603</v>
      </c>
      <c r="K146" s="224"/>
      <c r="L146" s="224"/>
      <c r="M146" s="224"/>
      <c r="N146" s="224"/>
      <c r="O146" s="224"/>
      <c r="P146" s="185"/>
      <c r="Q146" s="225"/>
      <c r="R146" s="182" t="str">
        <f ca="1">IF(ISERROR($V146),"",OFFSET('Smelter Look-up'!$C$4,$V146-4,0)&amp;"")</f>
        <v>China Tin Group Co., Ltd.</v>
      </c>
      <c r="S146" s="181" t="str">
        <f t="shared" ca="1" si="21"/>
        <v>CN</v>
      </c>
      <c r="T146" s="181" t="str">
        <f ca="1">IF(B146="","",IF(ISERROR(MATCH($J146,SorP!$B$1:$B$6279,0)),"",INDIRECT("'SorP'!$A$"&amp;MATCH($S146&amp;$J146,SorP!C:C,0))))</f>
        <v>CN-GX</v>
      </c>
      <c r="U146" s="201"/>
      <c r="V146" s="226">
        <f>IF(C146="",NA(),IF(OR(C146="Smelter not listed",C146="Smelter not yet identified"),MATCH($B146&amp;$D146,'Smelter Look-up'!$J:$J,0),MATCH($B146&amp;$C146,'Smelter Look-up'!$J:$J,0)))</f>
        <v>403</v>
      </c>
      <c r="X146" s="227">
        <f t="shared" si="22"/>
        <v>0</v>
      </c>
      <c r="AB146" s="228" t="str">
        <f t="shared" si="23"/>
        <v>TinChina Tin Group Co., Ltd.</v>
      </c>
    </row>
    <row r="147" spans="1:28" s="227" customFormat="1" ht="20.399999999999999">
      <c r="A147" s="181" t="s">
        <v>393</v>
      </c>
      <c r="B147" s="182" t="s">
        <v>1128</v>
      </c>
      <c r="C147" s="186" t="s">
        <v>392</v>
      </c>
      <c r="D147" s="230"/>
      <c r="E147" s="182" t="s">
        <v>1096</v>
      </c>
      <c r="F147" s="182" t="s">
        <v>393</v>
      </c>
      <c r="G147" s="182" t="s">
        <v>13240</v>
      </c>
      <c r="H147" s="183">
        <v>0</v>
      </c>
      <c r="I147" s="184" t="s">
        <v>1773</v>
      </c>
      <c r="J147" s="184" t="s">
        <v>13619</v>
      </c>
      <c r="K147" s="224"/>
      <c r="L147" s="224"/>
      <c r="M147" s="224"/>
      <c r="N147" s="224"/>
      <c r="O147" s="224"/>
      <c r="P147" s="185"/>
      <c r="Q147" s="225"/>
      <c r="R147" s="182" t="str">
        <f ca="1">IF(ISERROR($V147),"",OFFSET('Smelter Look-up'!$C$4,$V147-4,0)&amp;"")</f>
        <v>Ganzhou Seadragon W &amp; Mo Co., Ltd.</v>
      </c>
      <c r="S147" s="181" t="str">
        <f t="shared" ca="1" si="21"/>
        <v>CN</v>
      </c>
      <c r="T147" s="181" t="str">
        <f ca="1">IF(B147="","",IF(ISERROR(MATCH($J147,SorP!$B$1:$B$6279,0)),"",INDIRECT("'SorP'!$A$"&amp;MATCH($S147&amp;$J147,SorP!C:C,0))))</f>
        <v>CN-JX</v>
      </c>
      <c r="U147" s="201"/>
      <c r="V147" s="226">
        <f>IF(C147="",NA(),IF(OR(C147="Smelter not listed",C147="Smelter not yet identified"),MATCH($B147&amp;$D147,'Smelter Look-up'!$J:$J,0),MATCH($B147&amp;$C147,'Smelter Look-up'!$J:$J,0)))</f>
        <v>583</v>
      </c>
      <c r="X147" s="227">
        <f t="shared" si="22"/>
        <v>0</v>
      </c>
      <c r="AB147" s="228" t="str">
        <f t="shared" si="23"/>
        <v>TungstenGanzhou Seadragon W &amp; Mo Co., Ltd.</v>
      </c>
    </row>
    <row r="148" spans="1:28" s="227" customFormat="1" ht="20.399999999999999">
      <c r="A148" s="181"/>
      <c r="B148" s="182" t="s">
        <v>15818</v>
      </c>
      <c r="C148" s="186" t="s">
        <v>15818</v>
      </c>
      <c r="D148" s="230"/>
      <c r="E148" s="182" t="s">
        <v>15818</v>
      </c>
      <c r="F148" s="182" t="s">
        <v>15818</v>
      </c>
      <c r="G148" s="182" t="s">
        <v>15818</v>
      </c>
      <c r="H148" s="183" t="s">
        <v>15818</v>
      </c>
      <c r="I148" s="184" t="s">
        <v>15818</v>
      </c>
      <c r="J148" s="184" t="s">
        <v>15818</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399999999999999">
      <c r="A149" s="181"/>
      <c r="B149" s="182" t="s">
        <v>15818</v>
      </c>
      <c r="C149" s="186" t="s">
        <v>15818</v>
      </c>
      <c r="D149" s="230"/>
      <c r="E149" s="182" t="s">
        <v>15818</v>
      </c>
      <c r="F149" s="182" t="s">
        <v>15818</v>
      </c>
      <c r="G149" s="182" t="s">
        <v>15818</v>
      </c>
      <c r="H149" s="183" t="s">
        <v>15818</v>
      </c>
      <c r="I149" s="184" t="s">
        <v>15818</v>
      </c>
      <c r="J149" s="184" t="s">
        <v>15818</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399999999999999">
      <c r="A150" s="181"/>
      <c r="B150" s="182" t="s">
        <v>15818</v>
      </c>
      <c r="C150" s="186" t="s">
        <v>15818</v>
      </c>
      <c r="D150" s="230"/>
      <c r="E150" s="182" t="s">
        <v>15818</v>
      </c>
      <c r="F150" s="182" t="s">
        <v>15818</v>
      </c>
      <c r="G150" s="182" t="s">
        <v>15818</v>
      </c>
      <c r="H150" s="183" t="s">
        <v>15818</v>
      </c>
      <c r="I150" s="184" t="s">
        <v>15818</v>
      </c>
      <c r="J150" s="184" t="s">
        <v>15818</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399999999999999">
      <c r="A151" s="181"/>
      <c r="B151" s="182" t="s">
        <v>15818</v>
      </c>
      <c r="C151" s="186" t="s">
        <v>15818</v>
      </c>
      <c r="D151" s="230"/>
      <c r="E151" s="182" t="s">
        <v>15818</v>
      </c>
      <c r="F151" s="182" t="s">
        <v>15818</v>
      </c>
      <c r="G151" s="182" t="s">
        <v>15818</v>
      </c>
      <c r="H151" s="183" t="s">
        <v>15818</v>
      </c>
      <c r="I151" s="184" t="s">
        <v>15818</v>
      </c>
      <c r="J151" s="184" t="s">
        <v>15818</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399999999999999">
      <c r="A152" s="181"/>
      <c r="B152" s="182" t="s">
        <v>15818</v>
      </c>
      <c r="C152" s="186" t="s">
        <v>15818</v>
      </c>
      <c r="D152" s="230"/>
      <c r="E152" s="182" t="s">
        <v>15818</v>
      </c>
      <c r="F152" s="182" t="s">
        <v>15818</v>
      </c>
      <c r="G152" s="182" t="s">
        <v>15818</v>
      </c>
      <c r="H152" s="183" t="s">
        <v>15818</v>
      </c>
      <c r="I152" s="184" t="s">
        <v>15818</v>
      </c>
      <c r="J152" s="184" t="s">
        <v>15818</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399999999999999">
      <c r="A153" s="181"/>
      <c r="B153" s="182" t="s">
        <v>15818</v>
      </c>
      <c r="C153" s="186" t="s">
        <v>15818</v>
      </c>
      <c r="D153" s="230"/>
      <c r="E153" s="182" t="s">
        <v>15818</v>
      </c>
      <c r="F153" s="182" t="s">
        <v>15818</v>
      </c>
      <c r="G153" s="182" t="s">
        <v>15818</v>
      </c>
      <c r="H153" s="183" t="s">
        <v>15818</v>
      </c>
      <c r="I153" s="184" t="s">
        <v>15818</v>
      </c>
      <c r="J153" s="184" t="s">
        <v>15818</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399999999999999">
      <c r="A154" s="181"/>
      <c r="B154" s="182" t="s">
        <v>15818</v>
      </c>
      <c r="C154" s="186" t="s">
        <v>15818</v>
      </c>
      <c r="D154" s="230"/>
      <c r="E154" s="182" t="s">
        <v>15818</v>
      </c>
      <c r="F154" s="182" t="s">
        <v>15818</v>
      </c>
      <c r="G154" s="182" t="s">
        <v>15818</v>
      </c>
      <c r="H154" s="183" t="s">
        <v>15818</v>
      </c>
      <c r="I154" s="184" t="s">
        <v>15818</v>
      </c>
      <c r="J154" s="184" t="s">
        <v>15818</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399999999999999">
      <c r="A155" s="181"/>
      <c r="B155" s="182" t="s">
        <v>15818</v>
      </c>
      <c r="C155" s="186" t="s">
        <v>15818</v>
      </c>
      <c r="D155" s="230"/>
      <c r="E155" s="182" t="s">
        <v>15818</v>
      </c>
      <c r="F155" s="182" t="s">
        <v>15818</v>
      </c>
      <c r="G155" s="182" t="s">
        <v>15818</v>
      </c>
      <c r="H155" s="183" t="s">
        <v>15818</v>
      </c>
      <c r="I155" s="184" t="s">
        <v>15818</v>
      </c>
      <c r="J155" s="184" t="s">
        <v>15818</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399999999999999">
      <c r="A156" s="181"/>
      <c r="B156" s="182" t="s">
        <v>15818</v>
      </c>
      <c r="C156" s="186" t="s">
        <v>15818</v>
      </c>
      <c r="D156" s="230"/>
      <c r="E156" s="182" t="s">
        <v>15818</v>
      </c>
      <c r="F156" s="182" t="s">
        <v>15818</v>
      </c>
      <c r="G156" s="182" t="s">
        <v>15818</v>
      </c>
      <c r="H156" s="183" t="s">
        <v>15818</v>
      </c>
      <c r="I156" s="184" t="s">
        <v>15818</v>
      </c>
      <c r="J156" s="184" t="s">
        <v>15818</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399999999999999">
      <c r="A157" s="181"/>
      <c r="B157" s="182" t="s">
        <v>15818</v>
      </c>
      <c r="C157" s="186" t="s">
        <v>15818</v>
      </c>
      <c r="D157" s="230"/>
      <c r="E157" s="182" t="s">
        <v>15818</v>
      </c>
      <c r="F157" s="182" t="s">
        <v>15818</v>
      </c>
      <c r="G157" s="182" t="s">
        <v>15818</v>
      </c>
      <c r="H157" s="183" t="s">
        <v>15818</v>
      </c>
      <c r="I157" s="184" t="s">
        <v>15818</v>
      </c>
      <c r="J157" s="184" t="s">
        <v>15818</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399999999999999">
      <c r="A158" s="181"/>
      <c r="B158" s="182" t="s">
        <v>15818</v>
      </c>
      <c r="C158" s="186" t="s">
        <v>15818</v>
      </c>
      <c r="D158" s="230"/>
      <c r="E158" s="182" t="s">
        <v>15818</v>
      </c>
      <c r="F158" s="182" t="s">
        <v>15818</v>
      </c>
      <c r="G158" s="182" t="s">
        <v>15818</v>
      </c>
      <c r="H158" s="183" t="s">
        <v>15818</v>
      </c>
      <c r="I158" s="184" t="s">
        <v>15818</v>
      </c>
      <c r="J158" s="184" t="s">
        <v>15818</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399999999999999">
      <c r="A159" s="181"/>
      <c r="B159" s="182" t="s">
        <v>15818</v>
      </c>
      <c r="C159" s="186" t="s">
        <v>15818</v>
      </c>
      <c r="D159" s="230"/>
      <c r="E159" s="182" t="s">
        <v>15818</v>
      </c>
      <c r="F159" s="182" t="s">
        <v>15818</v>
      </c>
      <c r="G159" s="182" t="s">
        <v>15818</v>
      </c>
      <c r="H159" s="183" t="s">
        <v>15818</v>
      </c>
      <c r="I159" s="184" t="s">
        <v>15818</v>
      </c>
      <c r="J159" s="184" t="s">
        <v>15818</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399999999999999">
      <c r="A160" s="181"/>
      <c r="B160" s="182" t="s">
        <v>15818</v>
      </c>
      <c r="C160" s="186" t="s">
        <v>15818</v>
      </c>
      <c r="D160" s="230"/>
      <c r="E160" s="182" t="s">
        <v>15818</v>
      </c>
      <c r="F160" s="182" t="s">
        <v>15818</v>
      </c>
      <c r="G160" s="182" t="s">
        <v>15818</v>
      </c>
      <c r="H160" s="183" t="s">
        <v>15818</v>
      </c>
      <c r="I160" s="184" t="s">
        <v>15818</v>
      </c>
      <c r="J160" s="184" t="s">
        <v>15818</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399999999999999">
      <c r="A161" s="181"/>
      <c r="B161" s="182" t="s">
        <v>15818</v>
      </c>
      <c r="C161" s="186" t="s">
        <v>15818</v>
      </c>
      <c r="D161" s="230"/>
      <c r="E161" s="182" t="s">
        <v>15818</v>
      </c>
      <c r="F161" s="182" t="s">
        <v>15818</v>
      </c>
      <c r="G161" s="182" t="s">
        <v>15818</v>
      </c>
      <c r="H161" s="183" t="s">
        <v>15818</v>
      </c>
      <c r="I161" s="184" t="s">
        <v>15818</v>
      </c>
      <c r="J161" s="184" t="s">
        <v>15818</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399999999999999">
      <c r="A162" s="181"/>
      <c r="B162" s="182" t="s">
        <v>15818</v>
      </c>
      <c r="C162" s="186" t="s">
        <v>15818</v>
      </c>
      <c r="D162" s="230"/>
      <c r="E162" s="182" t="s">
        <v>15818</v>
      </c>
      <c r="F162" s="182" t="s">
        <v>15818</v>
      </c>
      <c r="G162" s="182" t="s">
        <v>15818</v>
      </c>
      <c r="H162" s="183" t="s">
        <v>15818</v>
      </c>
      <c r="I162" s="184" t="s">
        <v>15818</v>
      </c>
      <c r="J162" s="184" t="s">
        <v>15818</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399999999999999">
      <c r="A163" s="181"/>
      <c r="B163" s="182" t="s">
        <v>15818</v>
      </c>
      <c r="C163" s="186" t="s">
        <v>15818</v>
      </c>
      <c r="D163" s="230"/>
      <c r="E163" s="182" t="s">
        <v>15818</v>
      </c>
      <c r="F163" s="182" t="s">
        <v>15818</v>
      </c>
      <c r="G163" s="182" t="s">
        <v>15818</v>
      </c>
      <c r="H163" s="183" t="s">
        <v>15818</v>
      </c>
      <c r="I163" s="184" t="s">
        <v>15818</v>
      </c>
      <c r="J163" s="184" t="s">
        <v>15818</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399999999999999">
      <c r="A164" s="181"/>
      <c r="B164" s="182" t="s">
        <v>15818</v>
      </c>
      <c r="C164" s="186" t="s">
        <v>15818</v>
      </c>
      <c r="D164" s="230"/>
      <c r="E164" s="182" t="s">
        <v>15818</v>
      </c>
      <c r="F164" s="182" t="s">
        <v>15818</v>
      </c>
      <c r="G164" s="182" t="s">
        <v>15818</v>
      </c>
      <c r="H164" s="183" t="s">
        <v>15818</v>
      </c>
      <c r="I164" s="184" t="s">
        <v>15818</v>
      </c>
      <c r="J164" s="184" t="s">
        <v>15818</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399999999999999">
      <c r="A165" s="181"/>
      <c r="B165" s="182" t="s">
        <v>15818</v>
      </c>
      <c r="C165" s="186" t="s">
        <v>15818</v>
      </c>
      <c r="D165" s="230"/>
      <c r="E165" s="182" t="s">
        <v>15818</v>
      </c>
      <c r="F165" s="182" t="s">
        <v>15818</v>
      </c>
      <c r="G165" s="182" t="s">
        <v>15818</v>
      </c>
      <c r="H165" s="183" t="s">
        <v>15818</v>
      </c>
      <c r="I165" s="184" t="s">
        <v>15818</v>
      </c>
      <c r="J165" s="184" t="s">
        <v>15818</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399999999999999">
      <c r="A166" s="181"/>
      <c r="B166" s="182" t="s">
        <v>15818</v>
      </c>
      <c r="C166" s="186" t="s">
        <v>15818</v>
      </c>
      <c r="D166" s="230"/>
      <c r="E166" s="182" t="s">
        <v>15818</v>
      </c>
      <c r="F166" s="182" t="s">
        <v>15818</v>
      </c>
      <c r="G166" s="182" t="s">
        <v>15818</v>
      </c>
      <c r="H166" s="183" t="s">
        <v>15818</v>
      </c>
      <c r="I166" s="184" t="s">
        <v>15818</v>
      </c>
      <c r="J166" s="184" t="s">
        <v>15818</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399999999999999">
      <c r="A167" s="181"/>
      <c r="B167" s="182" t="s">
        <v>15818</v>
      </c>
      <c r="C167" s="186" t="s">
        <v>15818</v>
      </c>
      <c r="D167" s="230"/>
      <c r="E167" s="182" t="s">
        <v>15818</v>
      </c>
      <c r="F167" s="182" t="s">
        <v>15818</v>
      </c>
      <c r="G167" s="182" t="s">
        <v>15818</v>
      </c>
      <c r="H167" s="183" t="s">
        <v>15818</v>
      </c>
      <c r="I167" s="184" t="s">
        <v>15818</v>
      </c>
      <c r="J167" s="184" t="s">
        <v>15818</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399999999999999">
      <c r="A168" s="181"/>
      <c r="B168" s="182" t="s">
        <v>15818</v>
      </c>
      <c r="C168" s="186" t="s">
        <v>15818</v>
      </c>
      <c r="D168" s="230"/>
      <c r="E168" s="182" t="s">
        <v>15818</v>
      </c>
      <c r="F168" s="182" t="s">
        <v>15818</v>
      </c>
      <c r="G168" s="182" t="s">
        <v>15818</v>
      </c>
      <c r="H168" s="183" t="s">
        <v>15818</v>
      </c>
      <c r="I168" s="184" t="s">
        <v>15818</v>
      </c>
      <c r="J168" s="184" t="s">
        <v>15818</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399999999999999">
      <c r="A169" s="181"/>
      <c r="B169" s="182" t="s">
        <v>15818</v>
      </c>
      <c r="C169" s="186" t="s">
        <v>15818</v>
      </c>
      <c r="D169" s="230"/>
      <c r="E169" s="182" t="s">
        <v>15818</v>
      </c>
      <c r="F169" s="182" t="s">
        <v>15818</v>
      </c>
      <c r="G169" s="182" t="s">
        <v>15818</v>
      </c>
      <c r="H169" s="183" t="s">
        <v>15818</v>
      </c>
      <c r="I169" s="184" t="s">
        <v>15818</v>
      </c>
      <c r="J169" s="184" t="s">
        <v>15818</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399999999999999">
      <c r="A170" s="181"/>
      <c r="B170" s="182" t="s">
        <v>15818</v>
      </c>
      <c r="C170" s="186" t="s">
        <v>15818</v>
      </c>
      <c r="D170" s="230"/>
      <c r="E170" s="182" t="s">
        <v>15818</v>
      </c>
      <c r="F170" s="182" t="s">
        <v>15818</v>
      </c>
      <c r="G170" s="182" t="s">
        <v>15818</v>
      </c>
      <c r="H170" s="183" t="s">
        <v>15818</v>
      </c>
      <c r="I170" s="184" t="s">
        <v>15818</v>
      </c>
      <c r="J170" s="184" t="s">
        <v>15818</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FFB817E-793C-4898-93F3-F02065432E6A}"/>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CMI Inc DBA Corrosion Materials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Nickel alloy, titanium and other corrosion resistant alloy distributor of bar, pipe/tube, plate/sheet, fittings, fasteners and weld wire.  Corrosion Materials supplies material produced at different manufacturers and all information in this document is directly from our mill partners. </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Jacob Rodriguez</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jrodriguez@corrosionmaterials.com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800-455-2276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Jacob Rodriguez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jrodriguez@corrosionmaterials.com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45138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 xml:space="preserve">http://www.corrosionmaterials.com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ce4fa13-77bb-4fbd-b0e7-daab1f4992df">
      <Terms xmlns="http://schemas.microsoft.com/office/infopath/2007/PartnerControls"/>
    </lcf76f155ced4ddcb4097134ff3c332f>
    <TaxCatchAll xmlns="667c34d3-24e1-4513-b963-815b88f0aa4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EEA698A46DAE84298A1EF03A3614FD0" ma:contentTypeVersion="18" ma:contentTypeDescription="Create a new document." ma:contentTypeScope="" ma:versionID="5d46d5b54f3a25f13e87d45c1042f9e7">
  <xsd:schema xmlns:xsd="http://www.w3.org/2001/XMLSchema" xmlns:xs="http://www.w3.org/2001/XMLSchema" xmlns:p="http://schemas.microsoft.com/office/2006/metadata/properties" xmlns:ns2="9ce4fa13-77bb-4fbd-b0e7-daab1f4992df" xmlns:ns3="667c34d3-24e1-4513-b963-815b88f0aa48" targetNamespace="http://schemas.microsoft.com/office/2006/metadata/properties" ma:root="true" ma:fieldsID="9fa90db25bd0ae8449ad4a80baf4e48f" ns2:_="" ns3:_="">
    <xsd:import namespace="9ce4fa13-77bb-4fbd-b0e7-daab1f4992df"/>
    <xsd:import namespace="667c34d3-24e1-4513-b963-815b88f0aa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e4fa13-77bb-4fbd-b0e7-daab1f4992d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0efea63-06d4-4ccc-9e4a-c9b2d9503a1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7c34d3-24e1-4513-b963-815b88f0aa4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e0c647-9b49-43e2-93e3-b54df6c6115c}" ma:internalName="TaxCatchAll" ma:showField="CatchAllData" ma:web="667c34d3-24e1-4513-b963-815b88f0aa4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4AC05BD-0D19-45C9-B807-EC6EE82792C8}"/>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Jacob Rodriguez</cp:lastModifiedBy>
  <cp:lastPrinted>2015-04-21T20:47:43Z</cp:lastPrinted>
  <dcterms:created xsi:type="dcterms:W3CDTF">2010-06-21T21:00:23Z</dcterms:created>
  <dcterms:modified xsi:type="dcterms:W3CDTF">2023-07-31T21:44:00Z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